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<sst xmlns="http://schemas.openxmlformats.org/spreadsheetml/2006/main" count="158" uniqueCount="147">
  <si>
    <t>Route Miles</t>
  </si>
  <si>
    <t>Regular Boxes</t>
  </si>
  <si>
    <t>Centralized</t>
  </si>
  <si>
    <t>NDCBU/Coll.</t>
  </si>
  <si>
    <t>Parcel</t>
  </si>
  <si>
    <t>Withdrawal</t>
  </si>
  <si>
    <t>USPS Vehicle</t>
  </si>
  <si>
    <t>Days Completed</t>
  </si>
  <si>
    <t>Auto or Manual</t>
  </si>
  <si>
    <t xml:space="preserve"> #  Days for</t>
  </si>
  <si>
    <t>Standard</t>
  </si>
  <si>
    <t>miles</t>
  </si>
  <si>
    <t>(Hundredths)</t>
  </si>
  <si>
    <t>Boxes</t>
  </si>
  <si>
    <t>Comps.</t>
  </si>
  <si>
    <t>Lockers</t>
  </si>
  <si>
    <t>Yes or No</t>
  </si>
  <si>
    <t>for Count</t>
  </si>
  <si>
    <t xml:space="preserve"> Days Calculate</t>
  </si>
  <si>
    <t xml:space="preserve"> Manual Calc.</t>
  </si>
  <si>
    <t>Hours:Minutes</t>
  </si>
  <si>
    <t>boxes</t>
  </si>
  <si>
    <t>No</t>
  </si>
  <si>
    <t>Yes</t>
  </si>
  <si>
    <t>Automatic</t>
  </si>
  <si>
    <t>lboxes</t>
  </si>
  <si>
    <t>ndcbu</t>
  </si>
  <si>
    <t>Flats,Catalogs,</t>
  </si>
  <si>
    <t>No Option</t>
  </si>
  <si>
    <t>coll.comp.</t>
  </si>
  <si>
    <t>Letter Size</t>
  </si>
  <si>
    <t>Sector Segment</t>
  </si>
  <si>
    <t>DPS Letters</t>
  </si>
  <si>
    <t>Magazines,</t>
  </si>
  <si>
    <t>DPS Flats</t>
  </si>
  <si>
    <t>Parcels</t>
  </si>
  <si>
    <t>Boxholders</t>
  </si>
  <si>
    <t>Accountable Mail</t>
  </si>
  <si>
    <t>Customs Due</t>
  </si>
  <si>
    <t>Postage Due</t>
  </si>
  <si>
    <t>Low Option</t>
  </si>
  <si>
    <t>parcel lock</t>
  </si>
  <si>
    <t>Dates</t>
  </si>
  <si>
    <t>Letters</t>
  </si>
  <si>
    <t>Newspapers,Rolls</t>
  </si>
  <si>
    <t>Signature Item</t>
  </si>
  <si>
    <t>Rcvd. For Del. C.O.D.</t>
  </si>
  <si>
    <t>High Option</t>
  </si>
  <si>
    <t>letters</t>
  </si>
  <si>
    <t>SS</t>
  </si>
  <si>
    <t>a. TABLE OF EVALUATED HOURS FOR REGULAR RURAL ROUTES</t>
  </si>
  <si>
    <t>Dps</t>
  </si>
  <si>
    <t>Flats</t>
  </si>
  <si>
    <t>H Routes (No Relief Days)</t>
  </si>
  <si>
    <t>Dps Flats</t>
  </si>
  <si>
    <t>Total Hours and Minutes Per Week Evaluated Hours</t>
  </si>
  <si>
    <t>Box</t>
  </si>
  <si>
    <t>(Standard Hours)</t>
  </si>
  <si>
    <t>Acct.</t>
  </si>
  <si>
    <t>40:30 to 41:29 41 Hours</t>
  </si>
  <si>
    <t>COD</t>
  </si>
  <si>
    <t>41:30 to 42:29 42 Hours</t>
  </si>
  <si>
    <t>PD</t>
  </si>
  <si>
    <t>42:30 to 43:29 43 Hours</t>
  </si>
  <si>
    <t>COA</t>
  </si>
  <si>
    <t>43:30 to 44:29 44 Hours</t>
  </si>
  <si>
    <t>Pars</t>
  </si>
  <si>
    <t>44:30 to 45:29 45 Hours</t>
  </si>
  <si>
    <t>MU</t>
  </si>
  <si>
    <t>45:30 to 46:29 46 Hours</t>
  </si>
  <si>
    <t>Scans</t>
  </si>
  <si>
    <t>J Routes (Relief Day Every Other Week)</t>
  </si>
  <si>
    <t>Load</t>
  </si>
  <si>
    <t>Suit</t>
  </si>
  <si>
    <t>Dist.</t>
  </si>
  <si>
    <t>44:11 to 45:15 41 Hours</t>
  </si>
  <si>
    <t>DD</t>
  </si>
  <si>
    <t>45:16 to 46:21 42 Hours</t>
  </si>
  <si>
    <t>Collect</t>
  </si>
  <si>
    <t>46:22 to 47:27 43 Hours</t>
  </si>
  <si>
    <t>Req.</t>
  </si>
  <si>
    <t>47:28 to 48:32 44 Hours</t>
  </si>
  <si>
    <t>PU</t>
  </si>
  <si>
    <t>48:33 to 49:37 45 Hours</t>
  </si>
  <si>
    <t>PP</t>
  </si>
  <si>
    <t>49:38 to 50:43 46 Hours</t>
  </si>
  <si>
    <t>Cert</t>
  </si>
  <si>
    <t>MO</t>
  </si>
  <si>
    <t>K Routes (Relief Day Each Week)</t>
  </si>
  <si>
    <t>RR</t>
  </si>
  <si>
    <t>Stamp</t>
  </si>
  <si>
    <t>Other Suitable</t>
  </si>
  <si>
    <t>Authorized</t>
  </si>
  <si>
    <t>Scanner</t>
  </si>
  <si>
    <t>Change of Address</t>
  </si>
  <si>
    <t>PS Form 3982</t>
  </si>
  <si>
    <t>Marked Up</t>
  </si>
  <si>
    <t>PS Form 3821</t>
  </si>
  <si>
    <t>Non Signature</t>
  </si>
  <si>
    <t>Load Vehicle</t>
  </si>
  <si>
    <t>Allowance</t>
  </si>
  <si>
    <t>Dismount Distance</t>
  </si>
  <si>
    <t>Letters &amp; Flats</t>
  </si>
  <si>
    <t>47:24 to 48:35 40 Hours</t>
  </si>
  <si>
    <t>Strap</t>
  </si>
  <si>
    <t>PARS Label</t>
  </si>
  <si>
    <t>Mail Pieces</t>
  </si>
  <si>
    <t>( Completed )</t>
  </si>
  <si>
    <t>“ Scan “ Items</t>
  </si>
  <si>
    <t>( MM:SS )</t>
  </si>
  <si>
    <t>Dismounts</t>
  </si>
  <si>
    <t>( Feet )</t>
  </si>
  <si>
    <t>Collected</t>
  </si>
  <si>
    <t>48:36 to 49:47 41 Hours</t>
  </si>
  <si>
    <t>Office</t>
  </si>
  <si>
    <t>49:48 to 50:59 42 Hours</t>
  </si>
  <si>
    <t>LP</t>
  </si>
  <si>
    <t>51:00 to 52:11 43 Hours</t>
  </si>
  <si>
    <t>WD</t>
  </si>
  <si>
    <t>52:12 to 53:23 44 Hours</t>
  </si>
  <si>
    <t>Veh</t>
  </si>
  <si>
    <t>53:24 to 54:35 45 Hours</t>
  </si>
  <si>
    <t>Reload</t>
  </si>
  <si>
    <t>54:36 to 55:47 46 Hours</t>
  </si>
  <si>
    <t>55:48 to 56:59 47 Hours*</t>
  </si>
  <si>
    <t>57:00 to 57:36 48 Hours*</t>
  </si>
  <si>
    <t>Carrier Pickup</t>
  </si>
  <si>
    <t>Parcel Accepted</t>
  </si>
  <si>
    <t>Money Order</t>
  </si>
  <si>
    <t>Locked Pouch</t>
  </si>
  <si>
    <t>"Requests"</t>
  </si>
  <si>
    <t>"Items"</t>
  </si>
  <si>
    <t>Ordinary,Insured,</t>
  </si>
  <si>
    <t>Registered,Certified,</t>
  </si>
  <si>
    <t>Application</t>
  </si>
  <si>
    <t>Return Receipt</t>
  </si>
  <si>
    <t>Stops</t>
  </si>
  <si>
    <t>Reserved</t>
  </si>
  <si>
    <t>Waiting Time</t>
  </si>
  <si>
    <t>Counting Time</t>
  </si>
  <si>
    <t>Prepaid Parcel Event</t>
  </si>
  <si>
    <t>Prepaid Parcel Over 2 Lbs.</t>
  </si>
  <si>
    <t>C.O.D.</t>
  </si>
  <si>
    <t>Accepted</t>
  </si>
  <si>
    <t>Processed</t>
  </si>
  <si>
    <t>( L Route Only )</t>
  </si>
  <si>
    <t>Comments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</si>
</sst>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mm/dd/yyyy"/>
    <numFmt numFmtId="166" formatCode="0.00000"/>
  </numFmts>
  <fonts count="38">
    <font>
      <sz val="10"/>
      <name val="Arial"/>
      <family val="2"/>
    </font>
    <font>
      <sz val="9"/>
      <name val="Geneva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2" fontId="0" fillId="33" borderId="18" xfId="0" applyNumberForma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164" fontId="0" fillId="35" borderId="15" xfId="0" applyNumberForma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36" borderId="18" xfId="0" applyNumberFormat="1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 shrinkToFit="1"/>
    </xf>
    <xf numFmtId="0" fontId="0" fillId="36" borderId="18" xfId="0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 vertical="center" shrinkToFit="1"/>
    </xf>
    <xf numFmtId="165" fontId="2" fillId="0" borderId="0" xfId="0" applyNumberFormat="1" applyFont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/>
      <protection locked="0"/>
    </xf>
    <xf numFmtId="0" fontId="1" fillId="0" borderId="0" xfId="55">
      <alignment/>
      <protection/>
    </xf>
    <xf numFmtId="0" fontId="1" fillId="0" borderId="0" xfId="55" applyFont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20" xfId="0" applyFill="1" applyBorder="1" applyAlignment="1" applyProtection="1">
      <alignment horizontal="center" vertical="center"/>
      <protection locked="0"/>
    </xf>
    <xf numFmtId="164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18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2" xfId="0" applyNumberFormat="1" applyFill="1" applyBorder="1" applyAlignment="1" applyProtection="1">
      <alignment horizontal="center" vertical="center"/>
      <protection locked="0"/>
    </xf>
    <xf numFmtId="164" fontId="0" fillId="0" borderId="2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oms2003Calculato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tabSelected="1" zoomScalePageLayoutView="0" workbookViewId="0" topLeftCell="A1">
      <selection activeCell="B8" sqref="B8"/>
    </sheetView>
  </sheetViews>
  <sheetFormatPr defaultColWidth="11.57421875" defaultRowHeight="12.75"/>
  <cols>
    <col min="1" max="4" width="14.00390625" style="0" customWidth="1"/>
    <col min="5" max="5" width="14.57421875" style="0" customWidth="1"/>
    <col min="6" max="6" width="13.140625" style="0" customWidth="1"/>
    <col min="7" max="7" width="13.421875" style="0" customWidth="1"/>
    <col min="8" max="9" width="14.00390625" style="0" customWidth="1"/>
    <col min="10" max="10" width="16.140625" style="0" customWidth="1"/>
    <col min="11" max="11" width="14.00390625" style="0" customWidth="1"/>
    <col min="12" max="12" width="11.57421875" style="0" customWidth="1"/>
    <col min="13" max="13" width="13.28125" style="0" customWidth="1"/>
    <col min="14" max="14" width="67.28125" style="0" customWidth="1"/>
  </cols>
  <sheetData>
    <row r="1" spans="2:32" ht="12.75" customHeight="1">
      <c r="B1" s="1" t="s">
        <v>0</v>
      </c>
      <c r="C1" s="2" t="s">
        <v>1</v>
      </c>
      <c r="D1" s="3"/>
      <c r="E1" s="2" t="s">
        <v>2</v>
      </c>
      <c r="F1" s="3" t="s">
        <v>3</v>
      </c>
      <c r="G1" s="2" t="s">
        <v>4</v>
      </c>
      <c r="H1" s="3" t="s">
        <v>5</v>
      </c>
      <c r="I1" s="4" t="s">
        <v>6</v>
      </c>
      <c r="J1" s="5" t="s">
        <v>7</v>
      </c>
      <c r="K1" s="2" t="s">
        <v>8</v>
      </c>
      <c r="L1" s="1" t="s">
        <v>9</v>
      </c>
      <c r="M1" s="6" t="s">
        <v>10</v>
      </c>
      <c r="AB1" s="7">
        <f aca="true" t="shared" si="0" ref="AB1:AB24">IF(B8=0,0,1)</f>
        <v>0</v>
      </c>
      <c r="AE1">
        <f>B3*12</f>
        <v>0</v>
      </c>
      <c r="AF1" t="s">
        <v>11</v>
      </c>
    </row>
    <row r="2" spans="2:32" ht="12.75" customHeight="1">
      <c r="B2" s="8" t="s">
        <v>12</v>
      </c>
      <c r="C2" s="9"/>
      <c r="D2" s="10"/>
      <c r="E2" s="9" t="s">
        <v>13</v>
      </c>
      <c r="F2" s="10" t="s">
        <v>14</v>
      </c>
      <c r="G2" s="9" t="s">
        <v>15</v>
      </c>
      <c r="H2" s="11" t="s">
        <v>16</v>
      </c>
      <c r="I2" s="11" t="s">
        <v>16</v>
      </c>
      <c r="J2" s="3" t="s">
        <v>17</v>
      </c>
      <c r="K2" s="9" t="s">
        <v>18</v>
      </c>
      <c r="L2" s="8" t="s">
        <v>19</v>
      </c>
      <c r="M2" s="12" t="s">
        <v>20</v>
      </c>
      <c r="AB2" s="7">
        <f t="shared" si="0"/>
        <v>0</v>
      </c>
      <c r="AE2" t="e">
        <f>IF(((C3+E3)/B3)&lt;12,C3*2,0)</f>
        <v>#DIV/0!</v>
      </c>
      <c r="AF2" t="s">
        <v>21</v>
      </c>
    </row>
    <row r="3" spans="2:32" ht="12.75" customHeight="1">
      <c r="B3" s="13"/>
      <c r="C3" s="14"/>
      <c r="D3" s="15"/>
      <c r="E3" s="14"/>
      <c r="F3" s="16"/>
      <c r="G3" s="14"/>
      <c r="H3" s="17" t="s">
        <v>22</v>
      </c>
      <c r="I3" s="18" t="s">
        <v>23</v>
      </c>
      <c r="J3" s="19">
        <f>IF(K3="Automatic",AB25,L3)</f>
        <v>0</v>
      </c>
      <c r="K3" s="20" t="s">
        <v>24</v>
      </c>
      <c r="L3" s="21"/>
      <c r="M3" s="22" t="e">
        <f>ROUND((AD41+AE41),0)/1440</f>
        <v>#DIV/0!</v>
      </c>
      <c r="AB3" s="7">
        <f t="shared" si="0"/>
        <v>0</v>
      </c>
      <c r="AE3" t="e">
        <f>IF(((C3+E3)/B3)&lt;12,0,C3*1.82)</f>
        <v>#DIV/0!</v>
      </c>
      <c r="AF3" t="s">
        <v>25</v>
      </c>
    </row>
    <row r="4" spans="2:32" ht="12.75" customHeight="1"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AB4" s="7">
        <f t="shared" si="0"/>
        <v>0</v>
      </c>
      <c r="AE4">
        <f>E3*1</f>
        <v>0</v>
      </c>
      <c r="AF4" t="s">
        <v>26</v>
      </c>
    </row>
    <row r="5" spans="2:32" ht="12.75" customHeight="1">
      <c r="B5" s="2"/>
      <c r="C5" s="2"/>
      <c r="D5" s="2"/>
      <c r="E5" s="2" t="s">
        <v>27</v>
      </c>
      <c r="F5" s="2"/>
      <c r="G5" s="2"/>
      <c r="H5" s="2"/>
      <c r="I5" s="2"/>
      <c r="J5" s="2"/>
      <c r="K5" s="2"/>
      <c r="L5" s="24" t="s">
        <v>28</v>
      </c>
      <c r="M5" s="25" t="e">
        <f>Z27</f>
        <v>#DIV/0!</v>
      </c>
      <c r="AB5" s="7">
        <f t="shared" si="0"/>
        <v>0</v>
      </c>
      <c r="AE5">
        <f>F3*1</f>
        <v>0</v>
      </c>
      <c r="AF5" t="s">
        <v>29</v>
      </c>
    </row>
    <row r="6" spans="2:32" ht="12.75" customHeight="1">
      <c r="B6" s="2" t="s">
        <v>30</v>
      </c>
      <c r="C6" s="2" t="s">
        <v>31</v>
      </c>
      <c r="D6" s="2" t="s">
        <v>32</v>
      </c>
      <c r="E6" s="2" t="s">
        <v>33</v>
      </c>
      <c r="F6" s="2" t="s">
        <v>34</v>
      </c>
      <c r="G6" s="2" t="s">
        <v>35</v>
      </c>
      <c r="H6" s="2" t="s">
        <v>36</v>
      </c>
      <c r="I6" s="26" t="s">
        <v>37</v>
      </c>
      <c r="J6" s="2" t="s">
        <v>38</v>
      </c>
      <c r="K6" s="2" t="s">
        <v>39</v>
      </c>
      <c r="L6" s="24" t="s">
        <v>40</v>
      </c>
      <c r="M6" s="27" t="e">
        <f>IF(AE43&lt;2651,"N/A",IF(AE43&lt;2716,"41J",IF(AE43&lt;2782,"42J",IF(AE43&lt;2790,"43J",IF(AE43&lt;2844,"N/A",IF(AE43&lt;2916,"40K",IF(AE43&lt;2988,"41K",IF(AE43&lt;3044,"42K","N/A"))))))))</f>
        <v>#DIV/0!</v>
      </c>
      <c r="AB6" s="7">
        <f t="shared" si="0"/>
        <v>0</v>
      </c>
      <c r="AE6">
        <f>G3*2</f>
        <v>0</v>
      </c>
      <c r="AF6" t="s">
        <v>41</v>
      </c>
    </row>
    <row r="7" spans="1:32" ht="12.75" customHeight="1">
      <c r="A7" s="24" t="s">
        <v>42</v>
      </c>
      <c r="B7" s="9"/>
      <c r="C7" s="9" t="s">
        <v>43</v>
      </c>
      <c r="D7" s="9"/>
      <c r="E7" s="28" t="s">
        <v>44</v>
      </c>
      <c r="F7" s="9"/>
      <c r="G7" s="9"/>
      <c r="H7" s="9"/>
      <c r="I7" s="9" t="s">
        <v>45</v>
      </c>
      <c r="J7" s="9" t="s">
        <v>46</v>
      </c>
      <c r="K7" s="9"/>
      <c r="L7" s="24" t="s">
        <v>47</v>
      </c>
      <c r="M7" s="27" t="e">
        <f>IF(AE43&lt;2651,"N/A",IF(AE43&lt;2670,"44H",IF(AE43&lt;2730,"45H",IF(AE43&lt;2790,"46H",IF(AE43&lt;2844,"N/A",IF(AE43&lt;2848,"43J",IF(AE43&lt;2913,"44J",IF(AE43&lt;2978,"45J",Z33))))))))</f>
        <v>#DIV/0!</v>
      </c>
      <c r="AB7" s="7">
        <f t="shared" si="0"/>
        <v>0</v>
      </c>
      <c r="AD7" t="e">
        <f>B32/AB25*6*0.0555</f>
        <v>#DIV/0!</v>
      </c>
      <c r="AF7" t="s">
        <v>48</v>
      </c>
    </row>
    <row r="8" spans="1:32" ht="12.75" customHeight="1">
      <c r="A8" s="29">
        <v>42441</v>
      </c>
      <c r="B8" s="30"/>
      <c r="C8" s="30"/>
      <c r="D8" s="30"/>
      <c r="E8" s="30"/>
      <c r="F8" s="30"/>
      <c r="G8" s="30"/>
      <c r="H8" s="30"/>
      <c r="I8" s="30"/>
      <c r="J8" s="30"/>
      <c r="K8" s="30"/>
      <c r="N8" s="31"/>
      <c r="AB8" s="7">
        <f t="shared" si="0"/>
        <v>0</v>
      </c>
      <c r="AD8" t="e">
        <f>C32/AB25*6*0.0444</f>
        <v>#DIV/0!</v>
      </c>
      <c r="AF8" t="s">
        <v>49</v>
      </c>
    </row>
    <row r="9" spans="1:32" ht="12.75" customHeight="1">
      <c r="A9" s="29">
        <v>42443</v>
      </c>
      <c r="B9" s="30"/>
      <c r="C9" s="30"/>
      <c r="D9" s="30"/>
      <c r="E9" s="30"/>
      <c r="F9" s="30"/>
      <c r="G9" s="30"/>
      <c r="H9" s="30"/>
      <c r="I9" s="30"/>
      <c r="J9" s="30"/>
      <c r="K9" s="30"/>
      <c r="N9" s="32" t="s">
        <v>50</v>
      </c>
      <c r="AB9" s="7">
        <f t="shared" si="0"/>
        <v>0</v>
      </c>
      <c r="AE9" t="e">
        <f>IF(I3="Yes",D32/AB25*6*0.0232,D32/AB25*6*0.0333)</f>
        <v>#DIV/0!</v>
      </c>
      <c r="AF9" t="s">
        <v>51</v>
      </c>
    </row>
    <row r="10" spans="1:32" ht="12.75" customHeight="1">
      <c r="A10" s="29">
        <v>42444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N10" s="32"/>
      <c r="AB10" s="7">
        <f t="shared" si="0"/>
        <v>0</v>
      </c>
      <c r="AD10" t="e">
        <f>E32/AB25*6*0.1</f>
        <v>#DIV/0!</v>
      </c>
      <c r="AF10" t="s">
        <v>52</v>
      </c>
    </row>
    <row r="11" spans="1:32" ht="12.75" customHeight="1">
      <c r="A11" s="29">
        <v>42445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N11" s="32" t="s">
        <v>53</v>
      </c>
      <c r="AB11" s="7">
        <f t="shared" si="0"/>
        <v>0</v>
      </c>
      <c r="AE11" t="e">
        <f>IF(I3="Yes",F32/AB25*6*0.0232,F32/AB25*6*0.0588)</f>
        <v>#DIV/0!</v>
      </c>
      <c r="AF11" t="s">
        <v>54</v>
      </c>
    </row>
    <row r="12" spans="1:32" ht="12.75" customHeight="1">
      <c r="A12" s="29">
        <v>42446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N12" s="32"/>
      <c r="AB12" s="7">
        <f t="shared" si="0"/>
        <v>0</v>
      </c>
      <c r="AD12" t="e">
        <f>G32/AB25*6*0.333</f>
        <v>#DIV/0!</v>
      </c>
      <c r="AE12" t="e">
        <f>G32/AB25*6*0.167</f>
        <v>#DIV/0!</v>
      </c>
      <c r="AF12" t="s">
        <v>35</v>
      </c>
    </row>
    <row r="13" spans="1:32" ht="12.75" customHeight="1">
      <c r="A13" s="29">
        <v>42812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N13" s="32" t="s">
        <v>55</v>
      </c>
      <c r="AB13" s="7">
        <f t="shared" si="0"/>
        <v>0</v>
      </c>
      <c r="AD13" t="e">
        <f>H32/AB25*6*0.04</f>
        <v>#DIV/0!</v>
      </c>
      <c r="AF13" t="s">
        <v>56</v>
      </c>
    </row>
    <row r="14" spans="1:32" ht="12.75" customHeight="1">
      <c r="A14" s="29">
        <v>42448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N14" s="32" t="s">
        <v>57</v>
      </c>
      <c r="AB14" s="7">
        <f t="shared" si="0"/>
        <v>0</v>
      </c>
      <c r="AD14" t="e">
        <f>I32/AB25*6*1</f>
        <v>#DIV/0!</v>
      </c>
      <c r="AE14" t="e">
        <f>I32/AB25*6*3.466</f>
        <v>#DIV/0!</v>
      </c>
      <c r="AF14" t="s">
        <v>58</v>
      </c>
    </row>
    <row r="15" spans="1:32" ht="12.75" customHeight="1">
      <c r="A15" s="29">
        <v>42450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N15" s="32" t="s">
        <v>59</v>
      </c>
      <c r="AB15" s="7">
        <f t="shared" si="0"/>
        <v>0</v>
      </c>
      <c r="AD15" t="e">
        <f>J32/AB25*6*1.5</f>
        <v>#DIV/0!</v>
      </c>
      <c r="AE15" t="e">
        <f>J32/AB25*6*4.466</f>
        <v>#DIV/0!</v>
      </c>
      <c r="AF15" t="s">
        <v>60</v>
      </c>
    </row>
    <row r="16" spans="1:32" ht="12.75" customHeight="1">
      <c r="A16" s="29">
        <v>42451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N16" s="32" t="s">
        <v>61</v>
      </c>
      <c r="AB16" s="7">
        <f t="shared" si="0"/>
        <v>0</v>
      </c>
      <c r="AD16" t="e">
        <f>ROUNDUP(K32/AB25*6*0.2,0)</f>
        <v>#DIV/0!</v>
      </c>
      <c r="AF16" t="s">
        <v>62</v>
      </c>
    </row>
    <row r="17" spans="1:32" ht="12.75" customHeight="1">
      <c r="A17" s="29">
        <v>42817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N17" s="32" t="s">
        <v>63</v>
      </c>
      <c r="AB17" s="7">
        <f t="shared" si="0"/>
        <v>0</v>
      </c>
      <c r="AD17" t="e">
        <f>B61/AB25*6*2</f>
        <v>#DIV/0!</v>
      </c>
      <c r="AF17" t="s">
        <v>64</v>
      </c>
    </row>
    <row r="18" spans="1:32" ht="12.75" customHeight="1">
      <c r="A18" s="29">
        <v>42818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N18" s="32" t="s">
        <v>65</v>
      </c>
      <c r="AB18" s="7">
        <f t="shared" si="0"/>
        <v>0</v>
      </c>
      <c r="AD18" t="e">
        <f>C61/AB25*6*0.25</f>
        <v>#DIV/0!</v>
      </c>
      <c r="AF18" t="s">
        <v>66</v>
      </c>
    </row>
    <row r="19" spans="1:32" ht="12.75" customHeight="1">
      <c r="A19" s="29">
        <v>42819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N19" s="32" t="s">
        <v>67</v>
      </c>
      <c r="AB19" s="7">
        <f t="shared" si="0"/>
        <v>0</v>
      </c>
      <c r="AD19" t="e">
        <f>D61/AB25*6*0.25</f>
        <v>#DIV/0!</v>
      </c>
      <c r="AF19" t="s">
        <v>68</v>
      </c>
    </row>
    <row r="20" spans="1:32" ht="12.7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N20" s="32" t="s">
        <v>69</v>
      </c>
      <c r="AB20" s="7">
        <f t="shared" si="0"/>
        <v>0</v>
      </c>
      <c r="AD20" t="e">
        <f>E61/AB25*6*2</f>
        <v>#DIV/0!</v>
      </c>
      <c r="AF20">
        <v>3821</v>
      </c>
    </row>
    <row r="21" spans="1:32" ht="12.7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N21" s="32"/>
      <c r="AB21" s="7">
        <f t="shared" si="0"/>
        <v>0</v>
      </c>
      <c r="AE21" t="e">
        <f>F61/AB25*6*0.3</f>
        <v>#DIV/0!</v>
      </c>
      <c r="AF21" t="s">
        <v>70</v>
      </c>
    </row>
    <row r="22" spans="1:32" ht="12.7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N22" s="32" t="s">
        <v>71</v>
      </c>
      <c r="AB22" s="7">
        <f t="shared" si="0"/>
        <v>0</v>
      </c>
      <c r="AD22" s="33" t="e">
        <f>(ROUNDUP(G61*24,0))/AB25*6</f>
        <v>#DIV/0!</v>
      </c>
      <c r="AF22" t="s">
        <v>72</v>
      </c>
    </row>
    <row r="23" spans="1:32" ht="12.7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N23" s="32" t="s">
        <v>55</v>
      </c>
      <c r="AB23" s="7">
        <f t="shared" si="0"/>
        <v>0</v>
      </c>
      <c r="AD23" s="33" t="e">
        <f>ROUNDUP(H61*24,0)/AB25*6</f>
        <v>#DIV/0!</v>
      </c>
      <c r="AF23" t="s">
        <v>73</v>
      </c>
    </row>
    <row r="24" spans="1:32" ht="12.7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N24" s="32" t="s">
        <v>57</v>
      </c>
      <c r="AB24" s="7">
        <f t="shared" si="0"/>
        <v>0</v>
      </c>
      <c r="AE24" t="e">
        <f>I61/AB25*6*0.1</f>
        <v>#DIV/0!</v>
      </c>
      <c r="AF24" t="s">
        <v>74</v>
      </c>
    </row>
    <row r="25" spans="1:32" ht="12.7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N25" s="32" t="s">
        <v>75</v>
      </c>
      <c r="AB25" s="7">
        <f>IF(K3="Automatic",SUM(AB1:AB24),L3)</f>
        <v>0</v>
      </c>
      <c r="AE25" t="e">
        <f>J61/AB25*6*0.00429</f>
        <v>#DIV/0!</v>
      </c>
      <c r="AF25" t="s">
        <v>76</v>
      </c>
    </row>
    <row r="26" spans="1:32" ht="12.7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N26" s="32" t="s">
        <v>77</v>
      </c>
      <c r="Z26" t="e">
        <f>IF(AE43&lt;3348,"46K",IF(AE43&lt;3420,"47K",IF(AE43&lt;3457,"48K","N/A")))</f>
        <v>#DIV/0!</v>
      </c>
      <c r="AD26" t="e">
        <f>K61/AB25*6*0.04</f>
        <v>#DIV/0!</v>
      </c>
      <c r="AF26" t="s">
        <v>78</v>
      </c>
    </row>
    <row r="27" spans="1:32" ht="12.7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N27" s="32" t="s">
        <v>79</v>
      </c>
      <c r="Z27" s="34" t="e">
        <f>IF(AE43&lt;690,"N/A",IF(AE43&lt;750,"12H",IF(AE43&lt;810,"13H",IF(AE43&lt;870,"14H",IF(AE43&lt;930,"15H",IF(AE43&lt;990,"16H",IF(AE43&lt;1050,"17H",Z28)))))))</f>
        <v>#DIV/0!</v>
      </c>
      <c r="AD27" t="e">
        <f>B90/AB25*6*0.75</f>
        <v>#DIV/0!</v>
      </c>
      <c r="AE27" t="e">
        <f>B90/AB25*6*0.75</f>
        <v>#DIV/0!</v>
      </c>
      <c r="AF27" t="s">
        <v>80</v>
      </c>
    </row>
    <row r="28" spans="1:32" ht="12.7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N28" s="32" t="s">
        <v>81</v>
      </c>
      <c r="Z28" s="34" t="e">
        <f>IF(AE43&lt;1110,"18H",IF(AE43&lt;1170,"19H",IF(AE43&lt;1230,"20H",IF(AE43&lt;1290,"21H",IF(AE43&lt;1350,"22H",IF(AE43&lt;1410,"23H",IF(AE43&lt;1470,"24H",Z29)))))))</f>
        <v>#DIV/0!</v>
      </c>
      <c r="AE28" t="e">
        <f>C90/AB25*6*0.15</f>
        <v>#DIV/0!</v>
      </c>
      <c r="AF28" t="s">
        <v>82</v>
      </c>
    </row>
    <row r="29" spans="1:32" ht="12.7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N29" s="32" t="s">
        <v>83</v>
      </c>
      <c r="Z29" s="34" t="e">
        <f>IF(AE43&lt;1530,"25H",IF(AE43&lt;1590,"26H",IF(AE43&lt;1650,"27H",IF(AE43&lt;1710,"28H",IF(AE43&lt;1770,"29H",IF(AE43&lt;1830,"30H",IF(AE43&lt;1890,"31H",Z30)))))))</f>
        <v>#DIV/0!</v>
      </c>
      <c r="AD29" t="e">
        <f>D90/AB25*6*2</f>
        <v>#DIV/0!</v>
      </c>
      <c r="AE29" t="e">
        <f>D90/AB25*6*2</f>
        <v>#DIV/0!</v>
      </c>
      <c r="AF29" t="s">
        <v>84</v>
      </c>
    </row>
    <row r="30" spans="1:32" ht="12.75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N30" s="32" t="s">
        <v>85</v>
      </c>
      <c r="Z30" s="34" t="e">
        <f>IF(AE43&lt;1950,"32H",IF(AE43&lt;2010,"33H",IF(AE43&lt;2070,"34H",IF(AE43&lt;2130,"35H",IF(AE43&lt;2190,"36H",IF(AE43&lt;2250,"37H",IF(AE43&lt;2310,"38H",Z31)))))))</f>
        <v>#DIV/0!</v>
      </c>
      <c r="AD30" t="e">
        <f>E90/AB25*6*2</f>
        <v>#DIV/0!</v>
      </c>
      <c r="AF30" t="s">
        <v>86</v>
      </c>
    </row>
    <row r="31" spans="1:32" ht="12.75" customHeight="1">
      <c r="A31" s="29"/>
      <c r="B31" s="35"/>
      <c r="C31" s="35"/>
      <c r="D31" s="35"/>
      <c r="E31" s="35"/>
      <c r="F31" s="35"/>
      <c r="G31" s="35"/>
      <c r="H31" s="35"/>
      <c r="I31" s="35"/>
      <c r="J31" s="35"/>
      <c r="K31" s="35"/>
      <c r="N31" s="32"/>
      <c r="Z31" s="34" t="e">
        <f>IF(AE43&lt;2370,"39H",IF(AE43&lt;2430,"40H",IF(AE43&lt;2490,"41H",IF(AE43&lt;2550,"42H",IF(AE43&lt;2610,"43H",IF(AE43&lt;2651,"44H",Z32))))))</f>
        <v>#DIV/0!</v>
      </c>
      <c r="AD31" t="e">
        <f>F90/AB25*6*1.5</f>
        <v>#DIV/0!</v>
      </c>
      <c r="AE31" t="e">
        <f>F90/AB25*6*2</f>
        <v>#DIV/0!</v>
      </c>
      <c r="AF31" t="s">
        <v>87</v>
      </c>
    </row>
    <row r="32" spans="1:32" ht="17.25" customHeight="1">
      <c r="A32" s="29"/>
      <c r="B32" s="36">
        <f aca="true" t="shared" si="1" ref="B32:K32">SUM(B8:B31)</f>
        <v>0</v>
      </c>
      <c r="C32" s="36">
        <f t="shared" si="1"/>
        <v>0</v>
      </c>
      <c r="D32" s="36">
        <f t="shared" si="1"/>
        <v>0</v>
      </c>
      <c r="E32" s="36">
        <f t="shared" si="1"/>
        <v>0</v>
      </c>
      <c r="F32" s="36">
        <f t="shared" si="1"/>
        <v>0</v>
      </c>
      <c r="G32" s="36">
        <f t="shared" si="1"/>
        <v>0</v>
      </c>
      <c r="H32" s="36">
        <f t="shared" si="1"/>
        <v>0</v>
      </c>
      <c r="I32" s="36">
        <f t="shared" si="1"/>
        <v>0</v>
      </c>
      <c r="J32" s="36">
        <f t="shared" si="1"/>
        <v>0</v>
      </c>
      <c r="K32" s="36">
        <f t="shared" si="1"/>
        <v>0</v>
      </c>
      <c r="N32" s="32" t="s">
        <v>88</v>
      </c>
      <c r="Z32" t="e">
        <f>IF(AE43&lt;2790,"N/A",IF(AE43&lt;2844,"43J",IF(AE43&lt;3044,"N/A",IF(AE43&lt;3060,"42K",IF(AE43&lt;3132,"43K",IF(AE43&lt;3204,"44K",IF(AE43&lt;3276,"45K",Z26)))))))</f>
        <v>#DIV/0!</v>
      </c>
      <c r="AD32" t="e">
        <f>G90/AB25*6*0.25</f>
        <v>#DIV/0!</v>
      </c>
      <c r="AF32" t="s">
        <v>89</v>
      </c>
    </row>
    <row r="33" spans="1:32" ht="12.75" customHeight="1">
      <c r="A33" s="7"/>
      <c r="B33" s="23">
        <v>11</v>
      </c>
      <c r="C33" s="23">
        <v>12</v>
      </c>
      <c r="D33" s="23">
        <v>13</v>
      </c>
      <c r="E33" s="23">
        <v>14</v>
      </c>
      <c r="F33" s="23">
        <v>15</v>
      </c>
      <c r="G33" s="23">
        <v>16</v>
      </c>
      <c r="H33" s="23">
        <v>17</v>
      </c>
      <c r="I33" s="23">
        <v>18</v>
      </c>
      <c r="J33" s="23">
        <v>19</v>
      </c>
      <c r="K33" s="23">
        <v>20</v>
      </c>
      <c r="N33" s="32" t="s">
        <v>55</v>
      </c>
      <c r="Z33" s="34" t="e">
        <f>IF(AE43&lt;3044,"46J","N/A")</f>
        <v>#DIV/0!</v>
      </c>
      <c r="AD33">
        <v>20</v>
      </c>
      <c r="AF33" t="s">
        <v>90</v>
      </c>
    </row>
    <row r="34" spans="1:32" ht="12.75" customHeight="1">
      <c r="A34" s="7"/>
      <c r="B34" s="2"/>
      <c r="C34" s="2"/>
      <c r="D34" s="2"/>
      <c r="E34" s="2"/>
      <c r="F34" s="2"/>
      <c r="G34" s="2"/>
      <c r="H34" s="2" t="s">
        <v>91</v>
      </c>
      <c r="I34" s="2"/>
      <c r="J34" s="2" t="s">
        <v>92</v>
      </c>
      <c r="K34" s="2"/>
      <c r="N34" s="32" t="s">
        <v>57</v>
      </c>
      <c r="AD34">
        <v>6</v>
      </c>
      <c r="AF34" t="s">
        <v>93</v>
      </c>
    </row>
    <row r="35" spans="1:32" ht="12.75" customHeight="1">
      <c r="A35" s="7"/>
      <c r="B35" s="2" t="s">
        <v>94</v>
      </c>
      <c r="C35" s="2" t="s">
        <v>95</v>
      </c>
      <c r="D35" s="2" t="s">
        <v>96</v>
      </c>
      <c r="E35" s="2" t="s">
        <v>97</v>
      </c>
      <c r="F35" s="2" t="s">
        <v>98</v>
      </c>
      <c r="G35" s="2" t="s">
        <v>99</v>
      </c>
      <c r="H35" s="2" t="s">
        <v>100</v>
      </c>
      <c r="I35" s="2" t="s">
        <v>92</v>
      </c>
      <c r="J35" s="2" t="s">
        <v>101</v>
      </c>
      <c r="K35" s="2" t="s">
        <v>102</v>
      </c>
      <c r="N35" s="32" t="s">
        <v>103</v>
      </c>
      <c r="AD35" t="e">
        <f>(B32+C32+E32-D61)/AB25*6*0.01428</f>
        <v>#DIV/0!</v>
      </c>
      <c r="AF35" t="s">
        <v>104</v>
      </c>
    </row>
    <row r="36" spans="1:32" ht="12.75" customHeight="1">
      <c r="A36" s="24" t="s">
        <v>42</v>
      </c>
      <c r="B36" s="9"/>
      <c r="C36" s="9" t="s">
        <v>105</v>
      </c>
      <c r="D36" s="9" t="s">
        <v>106</v>
      </c>
      <c r="E36" s="9" t="s">
        <v>107</v>
      </c>
      <c r="F36" s="9" t="s">
        <v>108</v>
      </c>
      <c r="G36" s="9" t="s">
        <v>109</v>
      </c>
      <c r="H36" s="37" t="s">
        <v>109</v>
      </c>
      <c r="I36" s="9" t="s">
        <v>110</v>
      </c>
      <c r="J36" s="9" t="s">
        <v>111</v>
      </c>
      <c r="K36" s="9" t="s">
        <v>112</v>
      </c>
      <c r="N36" s="32" t="s">
        <v>113</v>
      </c>
      <c r="AD36">
        <v>30</v>
      </c>
      <c r="AF36" t="s">
        <v>114</v>
      </c>
    </row>
    <row r="37" spans="1:32" ht="12.75" customHeight="1">
      <c r="A37" s="29">
        <v>42042</v>
      </c>
      <c r="B37" s="38"/>
      <c r="C37" s="30"/>
      <c r="D37" s="30"/>
      <c r="E37" s="30"/>
      <c r="F37" s="30"/>
      <c r="G37" s="39"/>
      <c r="H37" s="39"/>
      <c r="I37" s="40"/>
      <c r="J37" s="30"/>
      <c r="K37" s="30"/>
      <c r="N37" s="32" t="s">
        <v>115</v>
      </c>
      <c r="AE37" t="e">
        <f>H90/AB25*30</f>
        <v>#DIV/0!</v>
      </c>
      <c r="AF37" t="s">
        <v>116</v>
      </c>
    </row>
    <row r="38" spans="1:32" ht="12.75" customHeight="1">
      <c r="A38" s="29">
        <v>42044</v>
      </c>
      <c r="B38" s="30"/>
      <c r="C38" s="30"/>
      <c r="D38" s="30"/>
      <c r="E38" s="30"/>
      <c r="F38" s="30"/>
      <c r="G38" s="39"/>
      <c r="H38" s="39"/>
      <c r="I38" s="40"/>
      <c r="J38" s="30"/>
      <c r="K38" s="30"/>
      <c r="N38" s="32" t="s">
        <v>117</v>
      </c>
      <c r="AD38">
        <f>IF(H3="Yes",30,0)</f>
        <v>0</v>
      </c>
      <c r="AF38" t="s">
        <v>118</v>
      </c>
    </row>
    <row r="39" spans="1:34" ht="12.75" customHeight="1">
      <c r="A39" s="29">
        <v>42045</v>
      </c>
      <c r="B39" s="30"/>
      <c r="C39" s="30"/>
      <c r="D39" s="30"/>
      <c r="E39" s="30"/>
      <c r="F39" s="30"/>
      <c r="G39" s="39"/>
      <c r="H39" s="39"/>
      <c r="I39" s="40"/>
      <c r="J39" s="30"/>
      <c r="K39" s="30"/>
      <c r="N39" s="32" t="s">
        <v>119</v>
      </c>
      <c r="AE39">
        <f>IF(I3="Yes",AH39,0)</f>
        <v>30</v>
      </c>
      <c r="AF39" t="s">
        <v>120</v>
      </c>
      <c r="AG39">
        <f>B3*6/100*4.5+24</f>
        <v>24</v>
      </c>
      <c r="AH39">
        <f>IF(AG39&lt;30,30,AG39)</f>
        <v>30</v>
      </c>
    </row>
    <row r="40" spans="1:32" ht="12.75" customHeight="1">
      <c r="A40" s="29">
        <v>42046</v>
      </c>
      <c r="B40" s="30"/>
      <c r="C40" s="30"/>
      <c r="D40" s="30"/>
      <c r="E40" s="30"/>
      <c r="F40" s="30"/>
      <c r="G40" s="39"/>
      <c r="H40" s="39"/>
      <c r="I40" s="40"/>
      <c r="J40" s="30"/>
      <c r="K40" s="30"/>
      <c r="N40" s="32" t="s">
        <v>121</v>
      </c>
      <c r="AE40">
        <v>18</v>
      </c>
      <c r="AF40" t="s">
        <v>122</v>
      </c>
    </row>
    <row r="41" spans="1:31" ht="12.75" customHeight="1">
      <c r="A41" s="29">
        <v>42047</v>
      </c>
      <c r="B41" s="30"/>
      <c r="C41" s="30"/>
      <c r="D41" s="30"/>
      <c r="E41" s="30"/>
      <c r="F41" s="30"/>
      <c r="G41" s="39"/>
      <c r="H41" s="39"/>
      <c r="I41" s="40"/>
      <c r="J41" s="30"/>
      <c r="K41" s="30"/>
      <c r="N41" s="32" t="s">
        <v>123</v>
      </c>
      <c r="AD41" t="e">
        <f>SUM(AD7:AD38)</f>
        <v>#DIV/0!</v>
      </c>
      <c r="AE41" t="e">
        <f>SUM(AE1:AE40)</f>
        <v>#DIV/0!</v>
      </c>
    </row>
    <row r="42" spans="1:14" ht="12.75" customHeight="1">
      <c r="A42" s="29">
        <v>42048</v>
      </c>
      <c r="B42" s="30"/>
      <c r="C42" s="30"/>
      <c r="D42" s="30"/>
      <c r="E42" s="30"/>
      <c r="F42" s="30"/>
      <c r="G42" s="39"/>
      <c r="H42" s="39"/>
      <c r="I42" s="40"/>
      <c r="J42" s="30"/>
      <c r="K42" s="30"/>
      <c r="N42" s="32" t="s">
        <v>124</v>
      </c>
    </row>
    <row r="43" spans="1:32" ht="12.75" customHeight="1">
      <c r="A43" s="29">
        <v>42049</v>
      </c>
      <c r="B43" s="30"/>
      <c r="C43" s="30"/>
      <c r="D43" s="30"/>
      <c r="E43" s="30"/>
      <c r="F43" s="30"/>
      <c r="G43" s="39"/>
      <c r="H43" s="39"/>
      <c r="I43" s="40"/>
      <c r="J43" s="30"/>
      <c r="K43" s="30"/>
      <c r="N43" s="32" t="s">
        <v>125</v>
      </c>
      <c r="AE43" s="41" t="e">
        <f>ROUND((AD41+AE41),0)</f>
        <v>#DIV/0!</v>
      </c>
      <c r="AF43" s="42"/>
    </row>
    <row r="44" spans="1:11" ht="12.75" customHeight="1">
      <c r="A44" s="29">
        <v>42052</v>
      </c>
      <c r="B44" s="30"/>
      <c r="C44" s="30"/>
      <c r="D44" s="30"/>
      <c r="E44" s="30"/>
      <c r="F44" s="30"/>
      <c r="G44" s="39"/>
      <c r="H44" s="39"/>
      <c r="I44" s="40"/>
      <c r="J44" s="30"/>
      <c r="K44" s="30"/>
    </row>
    <row r="45" spans="1:11" ht="12.75" customHeight="1">
      <c r="A45" s="29">
        <v>42053</v>
      </c>
      <c r="B45" s="30"/>
      <c r="C45" s="30"/>
      <c r="D45" s="30"/>
      <c r="E45" s="30"/>
      <c r="F45" s="30"/>
      <c r="G45" s="39"/>
      <c r="H45" s="39"/>
      <c r="I45" s="40"/>
      <c r="J45" s="30"/>
      <c r="K45" s="30"/>
    </row>
    <row r="46" spans="1:30" ht="12.75" customHeight="1">
      <c r="A46" s="29">
        <v>42054</v>
      </c>
      <c r="B46" s="30"/>
      <c r="C46" s="30"/>
      <c r="D46" s="30"/>
      <c r="E46" s="30"/>
      <c r="F46" s="30"/>
      <c r="G46" s="39"/>
      <c r="H46" s="39"/>
      <c r="I46" s="40"/>
      <c r="J46" s="30"/>
      <c r="K46" s="30"/>
      <c r="AD46" s="43"/>
    </row>
    <row r="47" spans="1:30" ht="12.75" customHeight="1">
      <c r="A47" s="29">
        <v>42055</v>
      </c>
      <c r="B47" s="30"/>
      <c r="C47" s="30"/>
      <c r="D47" s="30"/>
      <c r="E47" s="30"/>
      <c r="F47" s="30"/>
      <c r="G47" s="39"/>
      <c r="H47" s="39"/>
      <c r="I47" s="40"/>
      <c r="J47" s="30"/>
      <c r="K47" s="30"/>
      <c r="AD47" s="43"/>
    </row>
    <row r="48" spans="1:30" ht="12.75" customHeight="1">
      <c r="A48" s="29">
        <v>42056</v>
      </c>
      <c r="B48" s="30"/>
      <c r="C48" s="30"/>
      <c r="D48" s="30"/>
      <c r="E48" s="30"/>
      <c r="F48" s="30"/>
      <c r="G48" s="39"/>
      <c r="H48" s="39"/>
      <c r="I48" s="40"/>
      <c r="J48" s="30"/>
      <c r="K48" s="30"/>
      <c r="AD48" s="43"/>
    </row>
    <row r="49" spans="1:11" ht="12.75" customHeight="1">
      <c r="A49" s="29">
        <v>42058</v>
      </c>
      <c r="B49" s="30"/>
      <c r="C49" s="30"/>
      <c r="D49" s="30"/>
      <c r="E49" s="30"/>
      <c r="F49" s="30"/>
      <c r="G49" s="39"/>
      <c r="H49" s="39"/>
      <c r="I49" s="40"/>
      <c r="J49" s="30"/>
      <c r="K49" s="30"/>
    </row>
    <row r="50" spans="1:11" ht="12.75" customHeight="1">
      <c r="A50" s="29">
        <v>42059</v>
      </c>
      <c r="B50" s="30"/>
      <c r="C50" s="30"/>
      <c r="D50" s="30"/>
      <c r="E50" s="30"/>
      <c r="F50" s="30"/>
      <c r="G50" s="39"/>
      <c r="H50" s="39"/>
      <c r="I50" s="40"/>
      <c r="J50" s="30"/>
      <c r="K50" s="30"/>
    </row>
    <row r="51" spans="1:11" ht="12.75" customHeight="1">
      <c r="A51" s="29">
        <v>42060</v>
      </c>
      <c r="B51" s="30"/>
      <c r="C51" s="30"/>
      <c r="D51" s="30"/>
      <c r="E51" s="30"/>
      <c r="F51" s="30"/>
      <c r="G51" s="39"/>
      <c r="H51" s="39"/>
      <c r="I51" s="40"/>
      <c r="J51" s="30"/>
      <c r="K51" s="30"/>
    </row>
    <row r="52" spans="1:11" ht="12.75" customHeight="1">
      <c r="A52" s="29">
        <v>42061</v>
      </c>
      <c r="B52" s="30"/>
      <c r="C52" s="30"/>
      <c r="D52" s="30"/>
      <c r="E52" s="30"/>
      <c r="F52" s="30"/>
      <c r="G52" s="39"/>
      <c r="H52" s="39"/>
      <c r="I52" s="40"/>
      <c r="J52" s="30"/>
      <c r="K52" s="30"/>
    </row>
    <row r="53" spans="1:11" ht="12.75" customHeight="1">
      <c r="A53" s="29">
        <v>42062</v>
      </c>
      <c r="B53" s="30"/>
      <c r="C53" s="30"/>
      <c r="D53" s="30"/>
      <c r="E53" s="30"/>
      <c r="F53" s="30"/>
      <c r="G53" s="39"/>
      <c r="H53" s="39"/>
      <c r="I53" s="40"/>
      <c r="J53" s="30"/>
      <c r="K53" s="30"/>
    </row>
    <row r="54" spans="1:11" ht="12.75" customHeight="1">
      <c r="A54" s="29">
        <v>42063</v>
      </c>
      <c r="B54" s="30"/>
      <c r="C54" s="30"/>
      <c r="D54" s="30"/>
      <c r="E54" s="30"/>
      <c r="F54" s="30"/>
      <c r="G54" s="39"/>
      <c r="H54" s="39"/>
      <c r="I54" s="40"/>
      <c r="J54" s="30"/>
      <c r="K54" s="30"/>
    </row>
    <row r="55" spans="1:11" ht="12.75" customHeight="1">
      <c r="A55" s="29"/>
      <c r="B55" s="30"/>
      <c r="C55" s="30"/>
      <c r="D55" s="30"/>
      <c r="E55" s="30"/>
      <c r="F55" s="30"/>
      <c r="G55" s="39"/>
      <c r="H55" s="39"/>
      <c r="I55" s="40"/>
      <c r="J55" s="30"/>
      <c r="K55" s="30"/>
    </row>
    <row r="56" spans="1:11" ht="12.75" customHeight="1">
      <c r="A56" s="29"/>
      <c r="B56" s="30"/>
      <c r="C56" s="30"/>
      <c r="D56" s="30"/>
      <c r="E56" s="30"/>
      <c r="F56" s="30"/>
      <c r="G56" s="39"/>
      <c r="H56" s="39"/>
      <c r="I56" s="40"/>
      <c r="J56" s="30"/>
      <c r="K56" s="30"/>
    </row>
    <row r="57" spans="1:11" ht="12.75" customHeight="1">
      <c r="A57" s="29"/>
      <c r="B57" s="30"/>
      <c r="C57" s="30"/>
      <c r="D57" s="30"/>
      <c r="E57" s="30"/>
      <c r="F57" s="30"/>
      <c r="G57" s="39"/>
      <c r="H57" s="39"/>
      <c r="I57" s="40"/>
      <c r="J57" s="30"/>
      <c r="K57" s="30"/>
    </row>
    <row r="58" spans="1:11" ht="12.75" customHeight="1">
      <c r="A58" s="29"/>
      <c r="B58" s="30"/>
      <c r="C58" s="30"/>
      <c r="D58" s="30"/>
      <c r="E58" s="30"/>
      <c r="F58" s="30"/>
      <c r="G58" s="39"/>
      <c r="H58" s="39"/>
      <c r="I58" s="40"/>
      <c r="J58" s="30"/>
      <c r="K58" s="30"/>
    </row>
    <row r="59" spans="1:11" ht="12.75" customHeight="1">
      <c r="A59" s="29"/>
      <c r="B59" s="30"/>
      <c r="C59" s="30"/>
      <c r="D59" s="30"/>
      <c r="E59" s="30"/>
      <c r="F59" s="30"/>
      <c r="G59" s="39"/>
      <c r="H59" s="39"/>
      <c r="I59" s="40"/>
      <c r="J59" s="30"/>
      <c r="K59" s="30"/>
    </row>
    <row r="60" spans="1:11" ht="12.75" customHeight="1">
      <c r="A60" s="29"/>
      <c r="B60" s="35"/>
      <c r="C60" s="35"/>
      <c r="D60" s="35"/>
      <c r="E60" s="35"/>
      <c r="F60" s="35"/>
      <c r="G60" s="44"/>
      <c r="H60" s="44"/>
      <c r="I60" s="45"/>
      <c r="J60" s="35"/>
      <c r="K60" s="35"/>
    </row>
    <row r="61" spans="1:12" ht="17.25" customHeight="1">
      <c r="A61" s="7"/>
      <c r="B61" s="36">
        <f aca="true" t="shared" si="2" ref="B61:K61">SUM(B37:B60)</f>
        <v>0</v>
      </c>
      <c r="C61" s="36">
        <f t="shared" si="2"/>
        <v>0</v>
      </c>
      <c r="D61" s="36">
        <f t="shared" si="2"/>
        <v>0</v>
      </c>
      <c r="E61" s="36">
        <f t="shared" si="2"/>
        <v>0</v>
      </c>
      <c r="F61" s="36">
        <f t="shared" si="2"/>
        <v>0</v>
      </c>
      <c r="G61" s="46">
        <f t="shared" si="2"/>
        <v>0</v>
      </c>
      <c r="H61" s="46">
        <f t="shared" si="2"/>
        <v>0</v>
      </c>
      <c r="I61" s="47">
        <f t="shared" si="2"/>
        <v>0</v>
      </c>
      <c r="J61" s="36">
        <f t="shared" si="2"/>
        <v>0</v>
      </c>
      <c r="K61" s="36">
        <f t="shared" si="2"/>
        <v>0</v>
      </c>
      <c r="L61" s="43"/>
    </row>
    <row r="62" spans="1:11" ht="12.75" customHeight="1">
      <c r="A62" s="7"/>
      <c r="B62" s="23">
        <v>21</v>
      </c>
      <c r="C62" s="23">
        <v>22</v>
      </c>
      <c r="D62" s="23">
        <v>23</v>
      </c>
      <c r="E62" s="23">
        <v>24</v>
      </c>
      <c r="F62" s="23">
        <v>25</v>
      </c>
      <c r="G62" s="23">
        <v>26</v>
      </c>
      <c r="H62" s="23">
        <v>27</v>
      </c>
      <c r="I62" s="23">
        <v>28</v>
      </c>
      <c r="J62" s="23">
        <v>30</v>
      </c>
      <c r="K62" s="23">
        <v>31</v>
      </c>
    </row>
    <row r="63" spans="1:11" ht="12.75" customHeight="1">
      <c r="A63" s="7"/>
      <c r="B63" s="2" t="s">
        <v>126</v>
      </c>
      <c r="C63" s="2" t="s">
        <v>126</v>
      </c>
      <c r="D63" s="2" t="s">
        <v>127</v>
      </c>
      <c r="E63" s="2"/>
      <c r="F63" s="2" t="s">
        <v>128</v>
      </c>
      <c r="G63" s="2"/>
      <c r="H63" s="2" t="s">
        <v>129</v>
      </c>
      <c r="I63" s="2"/>
      <c r="J63" s="2"/>
      <c r="K63" s="2"/>
    </row>
    <row r="64" spans="1:11" ht="12.75" customHeight="1">
      <c r="A64" s="7"/>
      <c r="B64" s="2" t="s">
        <v>130</v>
      </c>
      <c r="C64" s="2" t="s">
        <v>131</v>
      </c>
      <c r="D64" s="2" t="s">
        <v>132</v>
      </c>
      <c r="E64" s="2" t="s">
        <v>133</v>
      </c>
      <c r="F64" s="2" t="s">
        <v>134</v>
      </c>
      <c r="G64" s="2" t="s">
        <v>135</v>
      </c>
      <c r="H64" s="2" t="s">
        <v>136</v>
      </c>
      <c r="I64" s="2" t="s">
        <v>137</v>
      </c>
      <c r="J64" s="2" t="s">
        <v>138</v>
      </c>
      <c r="K64" s="2" t="s">
        <v>139</v>
      </c>
    </row>
    <row r="65" spans="1:11" ht="12.75" customHeight="1">
      <c r="A65" s="24" t="s">
        <v>42</v>
      </c>
      <c r="B65" s="9" t="s">
        <v>140</v>
      </c>
      <c r="C65" s="48" t="s">
        <v>141</v>
      </c>
      <c r="D65" s="9" t="s">
        <v>142</v>
      </c>
      <c r="E65" s="9" t="s">
        <v>143</v>
      </c>
      <c r="F65" s="9" t="s">
        <v>144</v>
      </c>
      <c r="G65" s="9" t="s">
        <v>145</v>
      </c>
      <c r="H65" s="9"/>
      <c r="I65" s="9"/>
      <c r="J65" s="9"/>
      <c r="K65" s="9"/>
    </row>
    <row r="66" spans="1:11" ht="12.75" customHeight="1">
      <c r="A66" s="29">
        <v>42042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 customHeight="1">
      <c r="A67" s="29">
        <v>42044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 customHeight="1">
      <c r="A68" s="29">
        <v>42045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 customHeight="1">
      <c r="A69" s="29">
        <v>42046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 customHeight="1">
      <c r="A70" s="29">
        <v>42047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 customHeight="1">
      <c r="A71" s="29">
        <v>42048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 customHeight="1">
      <c r="A72" s="29">
        <v>42049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 customHeight="1">
      <c r="A73" s="29">
        <v>42052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 customHeight="1">
      <c r="A74" s="29">
        <v>42053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 customHeight="1">
      <c r="A75" s="29">
        <v>42054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 customHeight="1">
      <c r="A76" s="29">
        <v>42055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 customHeight="1">
      <c r="A77" s="29">
        <v>42056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 customHeight="1">
      <c r="A78" s="29">
        <v>42058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 customHeight="1">
      <c r="A79" s="29">
        <v>42059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 customHeight="1">
      <c r="A80" s="29">
        <v>42060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 customHeight="1">
      <c r="A81" s="29">
        <v>42061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 customHeight="1">
      <c r="A82" s="29">
        <v>42062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 customHeight="1">
      <c r="A83" s="29">
        <v>42063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 customHeight="1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 customHeight="1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 customHeigh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 customHeight="1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 customHeigh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 customHeight="1">
      <c r="A89" s="29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7.25" customHeight="1">
      <c r="A90" s="7"/>
      <c r="B90" s="36">
        <f aca="true" t="shared" si="3" ref="B90:K90">SUM(B66:B89)</f>
        <v>0</v>
      </c>
      <c r="C90" s="36">
        <f t="shared" si="3"/>
        <v>0</v>
      </c>
      <c r="D90" s="36">
        <f t="shared" si="3"/>
        <v>0</v>
      </c>
      <c r="E90" s="36">
        <f t="shared" si="3"/>
        <v>0</v>
      </c>
      <c r="F90" s="36">
        <f t="shared" si="3"/>
        <v>0</v>
      </c>
      <c r="G90" s="36">
        <f t="shared" si="3"/>
        <v>0</v>
      </c>
      <c r="H90" s="36">
        <f t="shared" si="3"/>
        <v>0</v>
      </c>
      <c r="I90" s="36">
        <f t="shared" si="3"/>
        <v>0</v>
      </c>
      <c r="J90" s="36">
        <f t="shared" si="3"/>
        <v>0</v>
      </c>
      <c r="K90" s="36">
        <f t="shared" si="3"/>
        <v>0</v>
      </c>
    </row>
    <row r="91" spans="1:11" ht="12.75" customHeight="1">
      <c r="A91" s="7"/>
      <c r="B91" s="49" t="s">
        <v>146</v>
      </c>
      <c r="C91" s="50"/>
      <c r="D91" s="50"/>
      <c r="E91" s="50"/>
      <c r="F91" s="50"/>
      <c r="G91" s="50"/>
      <c r="H91" s="50"/>
      <c r="I91" s="50"/>
      <c r="J91" s="50"/>
      <c r="K91" s="51"/>
    </row>
    <row r="92" spans="1:11" ht="12.75" customHeight="1">
      <c r="A92" s="7"/>
      <c r="B92" s="52"/>
      <c r="C92" s="50"/>
      <c r="D92" s="50"/>
      <c r="E92" s="50"/>
      <c r="F92" s="50"/>
      <c r="G92" s="50"/>
      <c r="H92" s="50"/>
      <c r="I92" s="50"/>
      <c r="J92" s="50"/>
      <c r="K92" s="51"/>
    </row>
    <row r="93" spans="1:11" ht="12.75" customHeight="1">
      <c r="A93" s="7"/>
      <c r="B93" s="52"/>
      <c r="C93" s="50"/>
      <c r="D93" s="50"/>
      <c r="E93" s="50"/>
      <c r="F93" s="50"/>
      <c r="G93" s="50"/>
      <c r="H93" s="50"/>
      <c r="I93" s="50"/>
      <c r="J93" s="50"/>
      <c r="K93" s="51"/>
    </row>
    <row r="94" spans="1:11" ht="12.75" customHeight="1">
      <c r="A94" s="7"/>
      <c r="B94" s="52"/>
      <c r="C94" s="50"/>
      <c r="D94" s="50"/>
      <c r="E94" s="50"/>
      <c r="F94" s="50"/>
      <c r="G94" s="50"/>
      <c r="H94" s="50"/>
      <c r="I94" s="50"/>
      <c r="J94" s="50"/>
      <c r="K94" s="51"/>
    </row>
    <row r="95" spans="1:11" ht="12.75" customHeight="1">
      <c r="A95" s="7"/>
      <c r="B95" s="53"/>
      <c r="C95" s="54"/>
      <c r="D95" s="54"/>
      <c r="E95" s="54"/>
      <c r="F95" s="54"/>
      <c r="G95" s="54"/>
      <c r="H95" s="54"/>
      <c r="I95" s="54"/>
      <c r="J95" s="54"/>
      <c r="K95" s="55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sheetProtection password="C77E" sheet="1" selectLockedCells="1"/>
  <dataValidations count="3">
    <dataValidation type="list" operator="equal" allowBlank="1" showInputMessage="1" prompt="Click Arrow&#10;Select Yes or No" sqref="H3">
      <formula1>"Yes,No,"</formula1>
    </dataValidation>
    <dataValidation type="list" operator="equal" allowBlank="1" showInputMessage="1" prompt="Click arrow.&#10;Select Yes or No" sqref="I3">
      <formula1>"Yes,No"</formula1>
    </dataValidation>
    <dataValidation type="list" operator="equal" allowBlank="1" showInputMessage="1" prompt="Click arrow.&#10;Select Automatic or Manual." sqref="K3">
      <formula1>"Automatic,Manual"</formula1>
    </dataValidation>
  </dataValidations>
  <printOptions/>
  <pageMargins left="0" right="0.06875" top="1.45" bottom="0" header="0.5118055555555555" footer="0.5118055555555555"/>
  <pageSetup firstPageNumber="1" useFirstPageNumber="1" horizontalDpi="300" verticalDpi="300" orientation="landscape" scale="91"/>
  <rowBreaks count="2" manualBreakCount="2">
    <brk id="32" max="255" man="1"/>
    <brk id="61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" right="0.06875" top="1.45" bottom="0" header="0.5118055555555555" footer="0.5118055555555555"/>
  <pageSetup horizontalDpi="300" verticalDpi="300" orientation="landscape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" right="0.06875" top="1.45" bottom="0" header="0.5118055555555555" footer="0.5118055555555555"/>
  <pageSetup horizontalDpi="300" verticalDpi="300" orientation="landscape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Andrew</cp:lastModifiedBy>
  <dcterms:created xsi:type="dcterms:W3CDTF">2013-01-04T02:22:08Z</dcterms:created>
  <dcterms:modified xsi:type="dcterms:W3CDTF">2016-01-26T12:36:45Z</dcterms:modified>
  <cp:category/>
  <cp:version/>
  <cp:contentType/>
  <cp:contentStatus/>
</cp:coreProperties>
</file>