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Sue Knapp\Desktop\2020 Mail Count\"/>
    </mc:Choice>
  </mc:AlternateContent>
  <xr:revisionPtr revIDLastSave="0" documentId="8_{7BAB0811-9030-449D-B1F3-4560ECD1CC05}" xr6:coauthVersionLast="45" xr6:coauthVersionMax="45" xr10:uidLastSave="{00000000-0000-0000-0000-000000000000}"/>
  <workbookProtection workbookPassword="C439" lockStructure="1"/>
  <bookViews>
    <workbookView xWindow="-108" yWindow="-108" windowWidth="23256" windowHeight="12576" tabRatio="659" xr2:uid="{00000000-000D-0000-FFFF-FFFF00000000}"/>
  </bookViews>
  <sheets>
    <sheet name="MAILCOUNT CALCULATOR" sheetId="1" r:id="rId1"/>
    <sheet name="RT INFO" sheetId="3" state="hidden" r:id="rId2"/>
  </sheets>
  <definedNames>
    <definedName name="EnteredDATA">'MAILCOUNT CALCULATOR'!$C$7:$C$39,'MAILCOUNT CALCULATOR'!$B$4,'MAILCOUNT CALCULATOR'!$D$4,'MAILCOUNT CALCULATOR'!$C$48,'MAILCOUNT CALCULATOR'!$C$49,'MAILCOUNT CALCULATOR'!$C$50,'MAILCOUNT CALCULATOR'!$C$50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L30" i="1"/>
  <c r="K33" i="1"/>
  <c r="L31" i="1"/>
  <c r="I30" i="1" l="1"/>
  <c r="I51" i="1"/>
  <c r="I45" i="1"/>
  <c r="I47" i="1"/>
  <c r="I44" i="1"/>
  <c r="B29" i="3"/>
  <c r="G32" i="1"/>
  <c r="I32" i="1" s="1"/>
  <c r="G15" i="1"/>
  <c r="B21" i="3" s="1"/>
  <c r="G14" i="1"/>
  <c r="G18" i="1"/>
  <c r="F46" i="1"/>
  <c r="F17" i="1"/>
  <c r="B24" i="3"/>
  <c r="B18" i="3"/>
  <c r="G34" i="1"/>
  <c r="F34" i="1"/>
  <c r="G28" i="1"/>
  <c r="F23" i="1"/>
  <c r="G35" i="1"/>
  <c r="F25" i="1"/>
  <c r="G22" i="1"/>
  <c r="G7" i="1"/>
  <c r="I7" i="1" s="1"/>
  <c r="B4" i="3"/>
  <c r="G8" i="1" s="1"/>
  <c r="G9" i="1"/>
  <c r="D4" i="3" s="1"/>
  <c r="G10" i="1"/>
  <c r="I10" i="1" s="1"/>
  <c r="G11" i="1"/>
  <c r="I11" i="1" s="1"/>
  <c r="F12" i="1"/>
  <c r="F13" i="1"/>
  <c r="F16" i="1"/>
  <c r="F19" i="1"/>
  <c r="G19" i="1"/>
  <c r="F20" i="1"/>
  <c r="F21" i="1"/>
  <c r="G21" i="1"/>
  <c r="F22" i="1"/>
  <c r="F24" i="1"/>
  <c r="F26" i="1"/>
  <c r="F27" i="1"/>
  <c r="F38" i="1"/>
  <c r="G38" i="1"/>
  <c r="F33" i="1"/>
  <c r="F36" i="1"/>
  <c r="G36" i="1"/>
  <c r="G37" i="1"/>
  <c r="F29" i="1"/>
  <c r="G31" i="1"/>
  <c r="I31" i="1" s="1"/>
  <c r="G48" i="1"/>
  <c r="I48" i="1" s="1"/>
  <c r="F49" i="1"/>
  <c r="I49" i="1" s="1"/>
  <c r="B43" i="3"/>
  <c r="F43" i="3" s="1"/>
  <c r="E43" i="3" s="1"/>
  <c r="F50" i="1" s="1"/>
  <c r="I50" i="1" s="1"/>
  <c r="B8" i="3"/>
  <c r="B16" i="3"/>
  <c r="D16" i="3" s="1"/>
  <c r="B19" i="3"/>
  <c r="B20" i="3" s="1"/>
  <c r="B28" i="3"/>
  <c r="B17" i="3" l="1"/>
  <c r="I9" i="1"/>
  <c r="B10" i="3"/>
  <c r="B7" i="3"/>
  <c r="B30" i="3"/>
  <c r="B31" i="3" s="1"/>
  <c r="I8" i="1"/>
  <c r="C4" i="3"/>
  <c r="F39" i="1"/>
  <c r="F53" i="1" s="1"/>
  <c r="D53" i="1" s="1"/>
  <c r="B9" i="3"/>
  <c r="B6" i="3"/>
  <c r="G53" i="1"/>
  <c r="I55" i="1" l="1"/>
  <c r="C53" i="1"/>
  <c r="B35" i="3"/>
  <c r="C54" i="1"/>
  <c r="B34" i="3"/>
  <c r="B33" i="3"/>
  <c r="B36" i="3"/>
  <c r="E53" i="1"/>
  <c r="B27" i="3"/>
  <c r="D54" i="1"/>
  <c r="C55" i="1" l="1"/>
  <c r="B41" i="3"/>
  <c r="D55" i="1"/>
  <c r="B26" i="3"/>
  <c r="B11" i="3"/>
  <c r="I56" i="1"/>
  <c r="C56" i="1" s="1"/>
  <c r="B42" i="3"/>
  <c r="B40" i="3"/>
  <c r="B39" i="3" l="1"/>
  <c r="B12" i="3"/>
  <c r="B13" i="3" l="1"/>
  <c r="E13" i="3"/>
  <c r="E14" i="3"/>
  <c r="B14" i="3"/>
</calcChain>
</file>

<file path=xl/sharedStrings.xml><?xml version="1.0" encoding="utf-8"?>
<sst xmlns="http://schemas.openxmlformats.org/spreadsheetml/2006/main" count="178" uniqueCount="156">
  <si>
    <t>MAIL COUNT CALCULATOR</t>
  </si>
  <si>
    <t>MAKE ENTRIES ONLY IN BLUE CELLS</t>
  </si>
  <si>
    <t>TOTAL</t>
  </si>
  <si>
    <t>OFFICE</t>
  </si>
  <si>
    <t>ROUTE</t>
  </si>
  <si>
    <t>HOURS</t>
  </si>
  <si>
    <t>MINUTES</t>
  </si>
  <si>
    <t>OFFICE STD HOURS</t>
  </si>
  <si>
    <t>Football Fields</t>
  </si>
  <si>
    <t>Minutes at 30 pieces per minute standard</t>
  </si>
  <si>
    <t>Total Annual Pieces Handled</t>
  </si>
  <si>
    <t>Annual Pieces per Box</t>
  </si>
  <si>
    <t>Volume Time</t>
  </si>
  <si>
    <t>Box Time</t>
  </si>
  <si>
    <t>Mileage Time</t>
  </si>
  <si>
    <t>Daily pieces handled per Box</t>
  </si>
  <si>
    <t>Selected Route Information</t>
  </si>
  <si>
    <t>Flats Time</t>
  </si>
  <si>
    <t>DPS daily casing Time</t>
  </si>
  <si>
    <t>(Does not include time to strapout DPS)</t>
  </si>
  <si>
    <t>Office Time %</t>
  </si>
  <si>
    <t>Route Time %</t>
  </si>
  <si>
    <t>Route Time Daily Hours</t>
  </si>
  <si>
    <t>Office Time Daily Hours</t>
  </si>
  <si>
    <t>Annual DPS Could Ground-cover</t>
  </si>
  <si>
    <t>WEEKS COUNTED</t>
  </si>
  <si>
    <t>Amount</t>
  </si>
  <si>
    <t>Time Allowance</t>
  </si>
  <si>
    <t>Office Time</t>
  </si>
  <si>
    <t>Route Time</t>
  </si>
  <si>
    <t>Ref.No.</t>
  </si>
  <si>
    <t>Description</t>
  </si>
  <si>
    <t>Entered</t>
  </si>
  <si>
    <t>(Mins.)</t>
  </si>
  <si>
    <t>Route Length</t>
  </si>
  <si>
    <t>Miles x 12.0</t>
  </si>
  <si>
    <t>Centralized Boxes</t>
  </si>
  <si>
    <t>Boxes x 1.0</t>
  </si>
  <si>
    <t>NDCBU Coll/Comp</t>
  </si>
  <si>
    <t>Compartments x 1.0</t>
  </si>
  <si>
    <t>Parcel Lockers</t>
  </si>
  <si>
    <t>Lockers x 2.0</t>
  </si>
  <si>
    <t>Parcels</t>
  </si>
  <si>
    <t>Strapping Out</t>
  </si>
  <si>
    <t>Lock Pouch Stops</t>
  </si>
  <si>
    <t>Withdraw Mail Y=1 N=0</t>
  </si>
  <si>
    <t>Yes=30 No=0</t>
  </si>
  <si>
    <t>USPS Vehicle Y=1 N=0</t>
  </si>
  <si>
    <t>ROUTE STD HOURS</t>
  </si>
  <si>
    <t>TOTAL STD HOURS</t>
  </si>
  <si>
    <t>Regular Boxes</t>
  </si>
  <si>
    <t>Boxes x 2.0 or (1.82L)</t>
  </si>
  <si>
    <t>Total Boxes</t>
  </si>
  <si>
    <t>Possible Deliveries per year</t>
  </si>
  <si>
    <t>Fueling Time if Gov Vehicle</t>
  </si>
  <si>
    <t>Annual Fueling Time</t>
  </si>
  <si>
    <t>Minutes</t>
  </si>
  <si>
    <t>Double Volume Deliveries</t>
  </si>
  <si>
    <t>After Holidays</t>
  </si>
  <si>
    <t>Automation Impact</t>
  </si>
  <si>
    <t>Impact of additional 1% DPS</t>
  </si>
  <si>
    <t>Annual DPS Letters</t>
  </si>
  <si>
    <t>Route Density</t>
  </si>
  <si>
    <t>Boxes per Mile</t>
  </si>
  <si>
    <t>Annual Driving Miles</t>
  </si>
  <si>
    <t>Centralized Boxes Necessary</t>
  </si>
  <si>
    <t>Regular Boxes Necessary</t>
  </si>
  <si>
    <t>Minutes plus</t>
  </si>
  <si>
    <t>Minimum</t>
  </si>
  <si>
    <t>Fueling Credit</t>
  </si>
  <si>
    <t>RT MI X 6 / 100 X 4.5</t>
  </si>
  <si>
    <t>Volume Related Time</t>
  </si>
  <si>
    <t>for 1 hour change @ factor</t>
  </si>
  <si>
    <t>Fixed</t>
  </si>
  <si>
    <t>Centralized</t>
  </si>
  <si>
    <t>Regular</t>
  </si>
  <si>
    <t>Hours</t>
  </si>
  <si>
    <t>Deliveries per Standard Hour</t>
  </si>
  <si>
    <t>Deliveries per Route Time Hour</t>
  </si>
  <si>
    <t>Volume Only Box Factor</t>
  </si>
  <si>
    <t>Annual COA Turnover Rate</t>
  </si>
  <si>
    <t>Reload/Unload</t>
  </si>
  <si>
    <t>Stamp Stock</t>
  </si>
  <si>
    <t xml:space="preserve"> </t>
  </si>
  <si>
    <t>(Total/WKS x .15)</t>
  </si>
  <si>
    <t>(Total/WKS) x .0333</t>
  </si>
  <si>
    <t>(Total/WKS x .75)</t>
  </si>
  <si>
    <t>Random Letters</t>
  </si>
  <si>
    <t>Flats,Cat.,Mag.,Papers,Rolls</t>
  </si>
  <si>
    <t>Accountable Mail (Sig. Item)</t>
  </si>
  <si>
    <t>Change of Address</t>
  </si>
  <si>
    <t>Markup</t>
  </si>
  <si>
    <t>PS Form 3982 (PARS Label)</t>
  </si>
  <si>
    <t>PS Form 3821 (Completed)</t>
  </si>
  <si>
    <t xml:space="preserve">Load Vehicle </t>
  </si>
  <si>
    <t>Authorized Dismounts</t>
  </si>
  <si>
    <t>Letters, Flats Collected</t>
  </si>
  <si>
    <t>Boxholders</t>
  </si>
  <si>
    <t>Customs Due (Rec'd for Del), C.O.D.</t>
  </si>
  <si>
    <t>Parcels Accepted, Ord., Ins., C.O.D.</t>
  </si>
  <si>
    <t>Registered, Certified Accepted</t>
  </si>
  <si>
    <t>Money Order Application Processed</t>
  </si>
  <si>
    <t>Not Used</t>
  </si>
  <si>
    <t>Reserved</t>
  </si>
  <si>
    <t>Scanner (Retrieval/Setup/Return)</t>
  </si>
  <si>
    <t xml:space="preserve">Postage Due </t>
  </si>
  <si>
    <t>(Total/WKS) x.25</t>
  </si>
  <si>
    <t>(Total/WKS) x.3</t>
  </si>
  <si>
    <t># DAILY Stops x 30</t>
  </si>
  <si>
    <t>DPS Percentage (Flats)</t>
  </si>
  <si>
    <t>Sector Segment Letters</t>
  </si>
  <si>
    <t>Non Signature "Scan" Items</t>
  </si>
  <si>
    <t>Other Suitable Allowance</t>
  </si>
  <si>
    <t>Auth. Dismount Dist. (Feet)</t>
  </si>
  <si>
    <t>Return Receipts (L Route Only)</t>
  </si>
  <si>
    <t>Other Office &amp; Personal</t>
  </si>
  <si>
    <t>DPS Percentage (Letters)</t>
  </si>
  <si>
    <t>Daily Rt. Mi x (6/100x4.5)+24</t>
  </si>
  <si>
    <t>18 min weekly</t>
  </si>
  <si>
    <t>PS 4241-M</t>
  </si>
  <si>
    <t>(Total/WKS) x .0555</t>
  </si>
  <si>
    <t>(Total/WKS) x .0444</t>
  </si>
  <si>
    <t>(Total/WKS) x .1</t>
  </si>
  <si>
    <t>(Total/WKS) x .333</t>
  </si>
  <si>
    <t>(Total/WKS) x .04</t>
  </si>
  <si>
    <t>(Total/WKS) x 1.0</t>
  </si>
  <si>
    <t>(Total/WKS) x 1.5</t>
  </si>
  <si>
    <t>(Total/WKS) x .2 round to #</t>
  </si>
  <si>
    <t>(Total/WKS) x 2.0</t>
  </si>
  <si>
    <t>(Total/WKS) x .25</t>
  </si>
  <si>
    <r>
      <t>(</t>
    </r>
    <r>
      <rPr>
        <sz val="9"/>
        <rFont val="Geneva"/>
      </rPr>
      <t>Actual Total/WKS)</t>
    </r>
  </si>
  <si>
    <t>(Actual Total/WKS)</t>
  </si>
  <si>
    <t>(Total/WKS) x .167</t>
  </si>
  <si>
    <t>(Total/WKS) x 3.466</t>
  </si>
  <si>
    <t>(Total/WKS) x 4.466</t>
  </si>
  <si>
    <t>(Total/WKS) x .0588</t>
  </si>
  <si>
    <t>(Total/WKS) x .0232</t>
  </si>
  <si>
    <t>(1+2+4+5A-13)/WKS x .01428</t>
  </si>
  <si>
    <t>3a</t>
  </si>
  <si>
    <t>3b</t>
  </si>
  <si>
    <t>5a</t>
  </si>
  <si>
    <t>5b</t>
  </si>
  <si>
    <t>DPS Letters-Without GOV Vehicle</t>
  </si>
  <si>
    <t>DPS Letters-With GOV Vehicle</t>
  </si>
  <si>
    <t>(Total/WKS) x .00429</t>
  </si>
  <si>
    <t>Carrier Pickup Request &amp; Prepaid Parcel Event</t>
  </si>
  <si>
    <t>Carrier Pickup Items &amp; Prepaid Parcel over 2lbs</t>
  </si>
  <si>
    <t>DPS Flats-Without GOV Vehicle</t>
  </si>
  <si>
    <t>DPS Flats-With GOV Vehicle</t>
  </si>
  <si>
    <t>VOLUME FACTOR</t>
  </si>
  <si>
    <t>NOTE: The route evaluation results displayed above are “unofficial”. PS Form 4241-A (Rural Route Evaluation) generated via the USPS IBSSC Mainframe is the only source providing an official rural route evaluation.</t>
  </si>
  <si>
    <t>NRLCA RURAL ROUTE EVALUATION WORKSHEET</t>
  </si>
  <si>
    <t>even</t>
  </si>
  <si>
    <t>odd</t>
  </si>
  <si>
    <t>ROUTE#</t>
  </si>
  <si>
    <t>REVISED AUGUST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</si>
</sst>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0"/>
    <numFmt numFmtId="166" formatCode="0.0000"/>
  </numFmts>
  <fonts count="34">
    <font>
      <sz val="9"/>
      <name val="Geneva"/>
    </font>
    <font>
      <b/>
      <i/>
      <sz val="12"/>
      <color indexed="8"/>
      <name val="Courier New"/>
      <family val="3"/>
    </font>
    <font>
      <b/>
      <i/>
      <sz val="12"/>
      <name val="Courier New"/>
      <family val="3"/>
    </font>
    <font>
      <b/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MS Sans Serif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Geneva"/>
    </font>
    <font>
      <sz val="8"/>
      <name val="Arial"/>
      <family val="2"/>
    </font>
    <font>
      <sz val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12"/>
      <name val="Courier New"/>
      <family val="3"/>
    </font>
    <font>
      <b/>
      <i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6"/>
      <name val="Arial"/>
      <family val="2"/>
    </font>
    <font>
      <b/>
      <sz val="10"/>
      <name val="MS Sans Serif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Geneva"/>
    </font>
    <font>
      <b/>
      <sz val="9"/>
      <name val="Geneva"/>
    </font>
    <font>
      <sz val="9"/>
      <color rgb="FF000000"/>
      <name val="Geneva"/>
    </font>
  </fonts>
  <fills count="11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0" borderId="0" xfId="0" applyFont="1" applyBorder="1"/>
    <xf numFmtId="0" fontId="9" fillId="0" borderId="1" xfId="0" applyFont="1" applyFill="1" applyBorder="1" applyAlignment="1" applyProtection="1">
      <alignment horizontal="center"/>
      <protection hidden="1"/>
    </xf>
    <xf numFmtId="0" fontId="5" fillId="0" borderId="0" xfId="0" applyFont="1" applyProtection="1"/>
    <xf numFmtId="0" fontId="0" fillId="0" borderId="0" xfId="0" applyProtection="1"/>
    <xf numFmtId="0" fontId="5" fillId="0" borderId="0" xfId="0" applyFont="1" applyProtection="1">
      <protection hidden="1"/>
    </xf>
    <xf numFmtId="0" fontId="9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3" fontId="5" fillId="0" borderId="0" xfId="0" applyNumberFormat="1" applyFont="1" applyProtection="1"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Protection="1">
      <protection hidden="1"/>
    </xf>
    <xf numFmtId="4" fontId="5" fillId="0" borderId="0" xfId="0" applyNumberFormat="1" applyFont="1" applyProtection="1">
      <protection hidden="1"/>
    </xf>
    <xf numFmtId="4" fontId="5" fillId="0" borderId="0" xfId="0" applyNumberFormat="1" applyFont="1" applyAlignment="1" applyProtection="1">
      <alignment horizontal="center"/>
      <protection hidden="1"/>
    </xf>
    <xf numFmtId="0" fontId="5" fillId="2" borderId="0" xfId="0" applyFont="1" applyFill="1" applyProtection="1">
      <protection hidden="1"/>
    </xf>
    <xf numFmtId="2" fontId="5" fillId="0" borderId="0" xfId="0" applyNumberFormat="1" applyFont="1" applyAlignment="1" applyProtection="1">
      <alignment horizontal="left"/>
      <protection hidden="1"/>
    </xf>
    <xf numFmtId="10" fontId="5" fillId="0" borderId="0" xfId="0" applyNumberFormat="1" applyFont="1" applyProtection="1">
      <protection hidden="1"/>
    </xf>
    <xf numFmtId="0" fontId="0" fillId="0" borderId="0" xfId="0" applyProtection="1">
      <protection hidden="1"/>
    </xf>
    <xf numFmtId="0" fontId="19" fillId="0" borderId="0" xfId="0" applyFont="1" applyProtection="1">
      <protection hidden="1"/>
    </xf>
    <xf numFmtId="10" fontId="5" fillId="0" borderId="0" xfId="0" applyNumberFormat="1" applyFont="1" applyFill="1" applyProtection="1">
      <protection hidden="1"/>
    </xf>
    <xf numFmtId="0" fontId="21" fillId="3" borderId="0" xfId="0" applyFont="1" applyFill="1" applyBorder="1" applyAlignment="1" applyProtection="1">
      <alignment horizontal="left"/>
    </xf>
    <xf numFmtId="0" fontId="2" fillId="3" borderId="3" xfId="0" applyFont="1" applyFill="1" applyBorder="1" applyProtection="1"/>
    <xf numFmtId="0" fontId="18" fillId="5" borderId="4" xfId="0" applyFont="1" applyFill="1" applyBorder="1" applyAlignment="1" applyProtection="1">
      <alignment horizontal="left"/>
    </xf>
    <xf numFmtId="0" fontId="8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/>
    </xf>
    <xf numFmtId="0" fontId="22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0" fontId="3" fillId="3" borderId="5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0" fontId="15" fillId="3" borderId="0" xfId="0" applyFont="1" applyFill="1" applyBorder="1" applyAlignment="1" applyProtection="1">
      <alignment horizontal="left"/>
    </xf>
    <xf numFmtId="0" fontId="8" fillId="5" borderId="0" xfId="0" applyFont="1" applyFill="1" applyBorder="1" applyProtection="1"/>
    <xf numFmtId="0" fontId="21" fillId="5" borderId="0" xfId="0" applyFont="1" applyFill="1" applyBorder="1" applyAlignment="1" applyProtection="1">
      <alignment horizontal="left"/>
    </xf>
    <xf numFmtId="0" fontId="4" fillId="5" borderId="0" xfId="0" applyFont="1" applyFill="1" applyBorder="1" applyAlignment="1" applyProtection="1">
      <alignment horizontal="left"/>
    </xf>
    <xf numFmtId="0" fontId="1" fillId="3" borderId="0" xfId="0" applyFont="1" applyFill="1" applyBorder="1" applyAlignment="1" applyProtection="1">
      <alignment horizontal="left"/>
    </xf>
    <xf numFmtId="0" fontId="15" fillId="5" borderId="0" xfId="0" applyFont="1" applyFill="1" applyBorder="1" applyAlignment="1" applyProtection="1">
      <alignment horizontal="left"/>
    </xf>
    <xf numFmtId="0" fontId="17" fillId="5" borderId="0" xfId="0" applyFont="1" applyFill="1" applyBorder="1" applyAlignment="1" applyProtection="1">
      <alignment horizontal="left"/>
    </xf>
    <xf numFmtId="0" fontId="20" fillId="3" borderId="0" xfId="0" applyFont="1" applyFill="1" applyBorder="1" applyProtection="1"/>
    <xf numFmtId="0" fontId="1" fillId="5" borderId="0" xfId="0" applyFont="1" applyFill="1" applyBorder="1" applyAlignment="1" applyProtection="1">
      <alignment horizontal="left"/>
    </xf>
    <xf numFmtId="3" fontId="6" fillId="3" borderId="0" xfId="0" applyNumberFormat="1" applyFont="1" applyFill="1" applyBorder="1" applyProtection="1"/>
    <xf numFmtId="3" fontId="11" fillId="3" borderId="0" xfId="0" applyNumberFormat="1" applyFont="1" applyFill="1" applyBorder="1" applyAlignment="1" applyProtection="1">
      <alignment horizontal="left"/>
    </xf>
    <xf numFmtId="3" fontId="11" fillId="3" borderId="0" xfId="0" applyNumberFormat="1" applyFont="1" applyFill="1" applyBorder="1" applyProtection="1"/>
    <xf numFmtId="3" fontId="15" fillId="3" borderId="0" xfId="0" applyNumberFormat="1" applyFont="1" applyFill="1" applyBorder="1" applyAlignment="1" applyProtection="1">
      <alignment horizontal="left"/>
    </xf>
    <xf numFmtId="0" fontId="7" fillId="3" borderId="0" xfId="0" applyFont="1" applyFill="1" applyBorder="1" applyAlignment="1" applyProtection="1">
      <alignment horizontal="center"/>
    </xf>
    <xf numFmtId="0" fontId="12" fillId="3" borderId="0" xfId="0" applyFont="1" applyFill="1" applyBorder="1" applyAlignment="1" applyProtection="1">
      <alignment horizontal="center"/>
    </xf>
    <xf numFmtId="0" fontId="23" fillId="3" borderId="0" xfId="0" applyFont="1" applyFill="1" applyBorder="1" applyAlignment="1" applyProtection="1">
      <alignment horizontal="left"/>
    </xf>
    <xf numFmtId="4" fontId="12" fillId="3" borderId="6" xfId="0" applyNumberFormat="1" applyFont="1" applyFill="1" applyBorder="1" applyAlignment="1" applyProtection="1">
      <alignment horizontal="left"/>
    </xf>
    <xf numFmtId="4" fontId="12" fillId="3" borderId="7" xfId="0" applyNumberFormat="1" applyFont="1" applyFill="1" applyBorder="1" applyAlignment="1" applyProtection="1">
      <alignment horizontal="center"/>
    </xf>
    <xf numFmtId="4" fontId="12" fillId="3" borderId="8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4" fontId="13" fillId="4" borderId="6" xfId="0" applyNumberFormat="1" applyFont="1" applyFill="1" applyBorder="1" applyAlignment="1" applyProtection="1">
      <alignment horizontal="left"/>
    </xf>
    <xf numFmtId="4" fontId="10" fillId="4" borderId="9" xfId="0" applyNumberFormat="1" applyFont="1" applyFill="1" applyBorder="1" applyProtection="1"/>
    <xf numFmtId="4" fontId="10" fillId="4" borderId="10" xfId="0" applyNumberFormat="1" applyFont="1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Border="1" applyProtection="1"/>
    <xf numFmtId="4" fontId="5" fillId="3" borderId="5" xfId="0" applyNumberFormat="1" applyFont="1" applyFill="1" applyBorder="1" applyProtection="1"/>
    <xf numFmtId="0" fontId="5" fillId="3" borderId="4" xfId="0" applyFont="1" applyFill="1" applyBorder="1" applyProtection="1"/>
    <xf numFmtId="0" fontId="0" fillId="3" borderId="0" xfId="0" applyFont="1" applyFill="1" applyBorder="1" applyAlignment="1" applyProtection="1">
      <alignment horizontal="left"/>
    </xf>
    <xf numFmtId="4" fontId="5" fillId="3" borderId="0" xfId="0" applyNumberFormat="1" applyFont="1" applyFill="1" applyBorder="1" applyProtection="1"/>
    <xf numFmtId="0" fontId="0" fillId="3" borderId="2" xfId="0" applyFill="1" applyBorder="1" applyProtection="1"/>
    <xf numFmtId="0" fontId="0" fillId="3" borderId="2" xfId="0" applyFont="1" applyFill="1" applyBorder="1" applyAlignment="1" applyProtection="1">
      <alignment horizontal="left"/>
    </xf>
    <xf numFmtId="0" fontId="0" fillId="3" borderId="2" xfId="0" applyFill="1" applyBorder="1" applyAlignment="1" applyProtection="1">
      <alignment horizontal="left"/>
    </xf>
    <xf numFmtId="0" fontId="0" fillId="3" borderId="3" xfId="0" applyFill="1" applyBorder="1" applyProtection="1"/>
    <xf numFmtId="0" fontId="0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25" fillId="3" borderId="0" xfId="0" applyFont="1" applyFill="1" applyBorder="1" applyProtection="1"/>
    <xf numFmtId="4" fontId="0" fillId="0" borderId="0" xfId="0" applyNumberFormat="1"/>
    <xf numFmtId="2" fontId="0" fillId="0" borderId="0" xfId="0" applyNumberFormat="1"/>
    <xf numFmtId="4" fontId="10" fillId="7" borderId="1" xfId="0" applyNumberFormat="1" applyFont="1" applyFill="1" applyBorder="1" applyProtection="1">
      <protection hidden="1"/>
    </xf>
    <xf numFmtId="0" fontId="24" fillId="5" borderId="0" xfId="0" applyFont="1" applyFill="1" applyBorder="1" applyAlignment="1" applyProtection="1">
      <alignment horizontal="left"/>
    </xf>
    <xf numFmtId="0" fontId="0" fillId="5" borderId="0" xfId="0" applyFont="1" applyFill="1" applyBorder="1" applyAlignment="1" applyProtection="1">
      <alignment horizontal="left"/>
    </xf>
    <xf numFmtId="0" fontId="9" fillId="8" borderId="1" xfId="0" applyFont="1" applyFill="1" applyBorder="1" applyAlignment="1" applyProtection="1">
      <alignment horizontal="center"/>
      <protection hidden="1"/>
    </xf>
    <xf numFmtId="0" fontId="27" fillId="3" borderId="11" xfId="0" applyFont="1" applyFill="1" applyBorder="1" applyProtection="1"/>
    <xf numFmtId="2" fontId="13" fillId="7" borderId="1" xfId="0" applyNumberFormat="1" applyFont="1" applyFill="1" applyBorder="1" applyAlignment="1" applyProtection="1">
      <alignment horizontal="right"/>
    </xf>
    <xf numFmtId="4" fontId="6" fillId="9" borderId="5" xfId="0" applyNumberFormat="1" applyFont="1" applyFill="1" applyBorder="1" applyProtection="1">
      <protection hidden="1"/>
    </xf>
    <xf numFmtId="4" fontId="10" fillId="9" borderId="10" xfId="0" applyNumberFormat="1" applyFont="1" applyFill="1" applyBorder="1" applyProtection="1">
      <protection hidden="1"/>
    </xf>
    <xf numFmtId="4" fontId="6" fillId="9" borderId="12" xfId="0" applyNumberFormat="1" applyFont="1" applyFill="1" applyBorder="1" applyProtection="1"/>
    <xf numFmtId="4" fontId="6" fillId="9" borderId="13" xfId="0" applyNumberFormat="1" applyFont="1" applyFill="1" applyBorder="1" applyProtection="1"/>
    <xf numFmtId="4" fontId="6" fillId="9" borderId="13" xfId="0" applyNumberFormat="1" applyFont="1" applyFill="1" applyBorder="1" applyProtection="1">
      <protection hidden="1"/>
    </xf>
    <xf numFmtId="4" fontId="10" fillId="9" borderId="13" xfId="0" applyNumberFormat="1" applyFont="1" applyFill="1" applyBorder="1" applyProtection="1">
      <protection hidden="1"/>
    </xf>
    <xf numFmtId="0" fontId="0" fillId="9" borderId="13" xfId="0" applyFill="1" applyBorder="1" applyProtection="1">
      <protection hidden="1"/>
    </xf>
    <xf numFmtId="4" fontId="10" fillId="7" borderId="14" xfId="0" applyNumberFormat="1" applyFont="1" applyFill="1" applyBorder="1" applyProtection="1">
      <protection hidden="1"/>
    </xf>
    <xf numFmtId="4" fontId="16" fillId="7" borderId="14" xfId="0" applyNumberFormat="1" applyFont="1" applyFill="1" applyBorder="1" applyProtection="1">
      <protection hidden="1"/>
    </xf>
    <xf numFmtId="4" fontId="6" fillId="9" borderId="10" xfId="0" applyNumberFormat="1" applyFont="1" applyFill="1" applyBorder="1" applyProtection="1">
      <protection hidden="1"/>
    </xf>
    <xf numFmtId="165" fontId="23" fillId="0" borderId="1" xfId="0" applyNumberFormat="1" applyFont="1" applyFill="1" applyBorder="1" applyAlignment="1" applyProtection="1">
      <alignment horizontal="left"/>
      <protection hidden="1"/>
    </xf>
    <xf numFmtId="165" fontId="23" fillId="8" borderId="1" xfId="0" applyNumberFormat="1" applyFont="1" applyFill="1" applyBorder="1" applyAlignment="1" applyProtection="1">
      <alignment horizontal="left"/>
      <protection hidden="1"/>
    </xf>
    <xf numFmtId="2" fontId="9" fillId="10" borderId="1" xfId="0" applyNumberFormat="1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28" fillId="3" borderId="1" xfId="0" applyFont="1" applyFill="1" applyBorder="1" applyAlignment="1" applyProtection="1">
      <alignment horizontal="right"/>
    </xf>
    <xf numFmtId="164" fontId="29" fillId="6" borderId="1" xfId="0" applyNumberFormat="1" applyFont="1" applyFill="1" applyBorder="1" applyAlignment="1" applyProtection="1">
      <alignment horizontal="center"/>
      <protection locked="0"/>
    </xf>
    <xf numFmtId="2" fontId="9" fillId="6" borderId="1" xfId="0" applyNumberFormat="1" applyFont="1" applyFill="1" applyBorder="1" applyProtection="1">
      <protection locked="0"/>
    </xf>
    <xf numFmtId="3" fontId="9" fillId="6" borderId="1" xfId="0" applyNumberFormat="1" applyFont="1" applyFill="1" applyBorder="1" applyProtection="1">
      <protection locked="0"/>
    </xf>
    <xf numFmtId="3" fontId="9" fillId="5" borderId="0" xfId="0" applyNumberFormat="1" applyFont="1" applyFill="1" applyBorder="1" applyProtection="1"/>
    <xf numFmtId="0" fontId="8" fillId="3" borderId="1" xfId="0" applyFont="1" applyFill="1" applyBorder="1" applyAlignment="1" applyProtection="1">
      <alignment horizontal="right"/>
    </xf>
    <xf numFmtId="0" fontId="8" fillId="6" borderId="1" xfId="0" applyFont="1" applyFill="1" applyBorder="1" applyAlignment="1" applyProtection="1">
      <alignment horizontal="center"/>
      <protection locked="0"/>
    </xf>
    <xf numFmtId="49" fontId="8" fillId="6" borderId="1" xfId="0" applyNumberFormat="1" applyFont="1" applyFill="1" applyBorder="1" applyAlignment="1" applyProtection="1">
      <alignment horizontal="center"/>
      <protection locked="0"/>
    </xf>
    <xf numFmtId="0" fontId="28" fillId="3" borderId="18" xfId="0" applyFont="1" applyFill="1" applyBorder="1" applyAlignment="1" applyProtection="1">
      <alignment horizontal="right"/>
    </xf>
    <xf numFmtId="0" fontId="32" fillId="0" borderId="0" xfId="0" applyFont="1"/>
    <xf numFmtId="166" fontId="0" fillId="0" borderId="0" xfId="0" applyNumberFormat="1"/>
    <xf numFmtId="49" fontId="26" fillId="3" borderId="4" xfId="0" applyNumberFormat="1" applyFont="1" applyFill="1" applyBorder="1" applyAlignment="1" applyProtection="1">
      <alignment wrapText="1"/>
    </xf>
    <xf numFmtId="49" fontId="0" fillId="0" borderId="0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0" fontId="9" fillId="3" borderId="15" xfId="0" applyFont="1" applyFill="1" applyBorder="1" applyAlignment="1" applyProtection="1">
      <alignment horizontal="center"/>
    </xf>
    <xf numFmtId="0" fontId="0" fillId="0" borderId="16" xfId="0" applyBorder="1" applyAlignment="1"/>
    <xf numFmtId="0" fontId="0" fillId="0" borderId="17" xfId="0" applyBorder="1" applyAlignment="1"/>
    <xf numFmtId="0" fontId="9" fillId="3" borderId="4" xfId="0" applyFont="1" applyFill="1" applyBorder="1" applyAlignment="1" applyProtection="1">
      <alignment horizontal="center"/>
    </xf>
    <xf numFmtId="0" fontId="9" fillId="3" borderId="0" xfId="0" applyFont="1" applyFill="1" applyBorder="1" applyAlignment="1" applyProtection="1">
      <alignment horizontal="center"/>
    </xf>
    <xf numFmtId="0" fontId="9" fillId="3" borderId="5" xfId="0" applyFont="1" applyFill="1" applyBorder="1" applyAlignment="1" applyProtection="1">
      <alignment horizontal="center"/>
    </xf>
    <xf numFmtId="0" fontId="30" fillId="6" borderId="4" xfId="0" applyFont="1" applyFill="1" applyBorder="1" applyAlignment="1" applyProtection="1">
      <alignment horizontal="center"/>
    </xf>
    <xf numFmtId="0" fontId="3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en-US"/>
              <a:t>Daily Hours</a:t>
            </a:r>
          </a:p>
        </c:rich>
      </c:tx>
      <c:layout>
        <c:manualLayout>
          <c:xMode val="edge"/>
          <c:yMode val="edge"/>
          <c:x val="0.38095193324715004"/>
          <c:y val="4.3478127734033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852872416431686"/>
          <c:y val="0.35833479140133218"/>
          <c:w val="0.51515369298605329"/>
          <c:h val="0.49583535089254138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58E-44A4-B52B-79758C550E88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25400">
                <a:noFill/>
              </a:ln>
              <a:effectLst>
                <a:outerShdw dist="35921" dir="2700000" algn="br">
                  <a:srgbClr val="000000"/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58E-44A4-B52B-79758C550E88}"/>
              </c:ext>
            </c:extLst>
          </c:dPt>
          <c:cat>
            <c:strRef>
              <c:f>'RT INFO'!$A$33:$A$34</c:f>
              <c:strCache>
                <c:ptCount val="2"/>
                <c:pt idx="0">
                  <c:v>Office Time %</c:v>
                </c:pt>
                <c:pt idx="1">
                  <c:v>Route Time %</c:v>
                </c:pt>
              </c:strCache>
            </c:strRef>
          </c:cat>
          <c:val>
            <c:numRef>
              <c:f>'RT INFO'!$B$33:$B$34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8E-44A4-B52B-79758C550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264334495501489"/>
          <c:y val="0.48750218722659666"/>
          <c:w val="0.29004461506988244"/>
          <c:h val="0.47083508311461064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5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 alignWithMargins="0"/>
    <c:pageMargins b="1" l="0.75000000000000211" r="0.75000000000000211" t="1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198120</xdr:colOff>
          <xdr:row>53</xdr:row>
          <xdr:rowOff>121920</xdr:rowOff>
        </xdr:from>
        <xdr:to>
          <xdr:col>4</xdr:col>
          <xdr:colOff>1143000</xdr:colOff>
          <xdr:row>55</xdr:row>
          <xdr:rowOff>38100</xdr:rowOff>
        </xdr:to>
        <xdr:sp macro="" textlink="">
          <xdr:nvSpPr>
            <xdr:cNvPr id="2051" name="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Geneva"/>
                </a:rPr>
                <a:t>CLEAR ENTRIES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1303020</xdr:colOff>
          <xdr:row>53</xdr:row>
          <xdr:rowOff>121920</xdr:rowOff>
        </xdr:from>
        <xdr:to>
          <xdr:col>5</xdr:col>
          <xdr:colOff>693420</xdr:colOff>
          <xdr:row>55</xdr:row>
          <xdr:rowOff>45720</xdr:rowOff>
        </xdr:to>
        <xdr:sp macro="" textlink="">
          <xdr:nvSpPr>
            <xdr:cNvPr id="2052" name="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Geneva"/>
                </a:rPr>
                <a:t>PRINT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830580</xdr:colOff>
          <xdr:row>53</xdr:row>
          <xdr:rowOff>121920</xdr:rowOff>
        </xdr:from>
        <xdr:to>
          <xdr:col>6</xdr:col>
          <xdr:colOff>838200</xdr:colOff>
          <xdr:row>55</xdr:row>
          <xdr:rowOff>45720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900" b="0" i="0" u="none" strike="noStrike" baseline="0">
                  <a:solidFill>
                    <a:srgbClr val="000000"/>
                  </a:solidFill>
                  <a:latin typeface="Geneva"/>
                </a:rPr>
                <a:t>SAVE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25</xdr:row>
      <xdr:rowOff>114300</xdr:rowOff>
    </xdr:from>
    <xdr:to>
      <xdr:col>5</xdr:col>
      <xdr:colOff>85725</xdr:colOff>
      <xdr:row>39</xdr:row>
      <xdr:rowOff>133350</xdr:rowOff>
    </xdr:to>
    <xdr:graphicFrame macro="">
      <xdr:nvGraphicFramePr>
        <xdr:cNvPr id="1026" name="Chart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59"/>
  <sheetViews>
    <sheetView tabSelected="1" showWhiteSpace="0" topLeftCell="A30" zoomScaleNormal="100" workbookViewId="0">
      <selection activeCell="C45" sqref="C45"/>
    </sheetView>
  </sheetViews>
  <sheetFormatPr defaultColWidth="11.375" defaultRowHeight="11.4"/>
  <cols>
    <col min="1" max="1" width="10" style="4" customWidth="1"/>
    <col min="2" max="2" width="39" style="4" customWidth="1"/>
    <col min="3" max="3" width="14.25" style="4" customWidth="1"/>
    <col min="4" max="4" width="21.375" style="63" bestFit="1" customWidth="1"/>
    <col min="5" max="5" width="22.125" style="64" bestFit="1" customWidth="1"/>
    <col min="6" max="6" width="12.875" style="4" customWidth="1"/>
    <col min="7" max="7" width="13.875" style="4" customWidth="1"/>
    <col min="8" max="12" width="11.375" hidden="1" customWidth="1"/>
  </cols>
  <sheetData>
    <row r="1" spans="1:9" ht="21" customHeight="1">
      <c r="A1" s="103" t="s">
        <v>151</v>
      </c>
      <c r="B1" s="104"/>
      <c r="C1" s="104"/>
      <c r="D1" s="104"/>
      <c r="E1" s="104"/>
      <c r="F1" s="104"/>
      <c r="G1" s="105"/>
      <c r="H1" s="1"/>
    </row>
    <row r="2" spans="1:9" ht="16.2">
      <c r="A2" s="106" t="s">
        <v>0</v>
      </c>
      <c r="B2" s="107"/>
      <c r="C2" s="107"/>
      <c r="D2" s="107"/>
      <c r="E2" s="107"/>
      <c r="F2" s="107"/>
      <c r="G2" s="108"/>
      <c r="H2" s="1"/>
    </row>
    <row r="3" spans="1:9" ht="16.8" thickBot="1">
      <c r="A3" s="109" t="s">
        <v>1</v>
      </c>
      <c r="B3" s="110"/>
      <c r="C3" s="87"/>
      <c r="D3" s="87"/>
      <c r="E3" s="87"/>
      <c r="F3" s="87"/>
      <c r="G3" s="20"/>
      <c r="H3" s="1"/>
    </row>
    <row r="4" spans="1:9" ht="16.8" thickBot="1">
      <c r="A4" s="96" t="s">
        <v>3</v>
      </c>
      <c r="B4" s="94"/>
      <c r="C4" s="88" t="s">
        <v>154</v>
      </c>
      <c r="D4" s="95"/>
      <c r="E4" s="93" t="s">
        <v>25</v>
      </c>
      <c r="F4" s="89">
        <v>2</v>
      </c>
      <c r="G4" s="20"/>
    </row>
    <row r="5" spans="1:9" ht="13.2">
      <c r="A5" s="21" t="s">
        <v>119</v>
      </c>
      <c r="B5" s="22"/>
      <c r="C5" s="23" t="s">
        <v>26</v>
      </c>
      <c r="D5" s="24" t="s">
        <v>27</v>
      </c>
      <c r="E5" s="25" t="s">
        <v>27</v>
      </c>
      <c r="F5" s="23" t="s">
        <v>28</v>
      </c>
      <c r="G5" s="26" t="s">
        <v>29</v>
      </c>
    </row>
    <row r="6" spans="1:9" ht="13.2">
      <c r="A6" s="27" t="s">
        <v>30</v>
      </c>
      <c r="B6" s="22" t="s">
        <v>31</v>
      </c>
      <c r="C6" s="23" t="s">
        <v>32</v>
      </c>
      <c r="D6" s="24" t="s">
        <v>28</v>
      </c>
      <c r="E6" s="25" t="s">
        <v>29</v>
      </c>
      <c r="F6" s="23" t="s">
        <v>33</v>
      </c>
      <c r="G6" s="26" t="s">
        <v>33</v>
      </c>
    </row>
    <row r="7" spans="1:9" ht="16.2">
      <c r="A7" s="28"/>
      <c r="B7" s="29" t="s">
        <v>34</v>
      </c>
      <c r="C7" s="90"/>
      <c r="D7" s="19"/>
      <c r="E7" s="30" t="s">
        <v>35</v>
      </c>
      <c r="F7" s="76"/>
      <c r="G7" s="81">
        <f>C7*12</f>
        <v>0</v>
      </c>
      <c r="I7" s="66">
        <f>G7</f>
        <v>0</v>
      </c>
    </row>
    <row r="8" spans="1:9" ht="16.2">
      <c r="A8" s="28"/>
      <c r="B8" s="31" t="s">
        <v>50</v>
      </c>
      <c r="C8" s="91"/>
      <c r="D8" s="32"/>
      <c r="E8" s="33" t="s">
        <v>51</v>
      </c>
      <c r="F8" s="77"/>
      <c r="G8" s="81" t="e">
        <f>IF('RT INFO'!B4/'MAILCOUNT CALCULATOR'!C7&gt;=12,C8*1.82,C8*2)</f>
        <v>#DIV/0!</v>
      </c>
      <c r="I8" s="66" t="e">
        <f>G8</f>
        <v>#DIV/0!</v>
      </c>
    </row>
    <row r="9" spans="1:9" ht="16.2">
      <c r="A9" s="28"/>
      <c r="B9" s="22" t="s">
        <v>36</v>
      </c>
      <c r="C9" s="91"/>
      <c r="D9" s="19"/>
      <c r="E9" s="33" t="s">
        <v>37</v>
      </c>
      <c r="F9" s="77"/>
      <c r="G9" s="81">
        <f>C9</f>
        <v>0</v>
      </c>
      <c r="I9" s="66">
        <f>G9</f>
        <v>0</v>
      </c>
    </row>
    <row r="10" spans="1:9" ht="16.2">
      <c r="A10" s="28"/>
      <c r="B10" s="22" t="s">
        <v>38</v>
      </c>
      <c r="C10" s="91"/>
      <c r="D10" s="19"/>
      <c r="E10" s="33" t="s">
        <v>39</v>
      </c>
      <c r="F10" s="77"/>
      <c r="G10" s="81">
        <f>C10</f>
        <v>0</v>
      </c>
      <c r="I10" s="66">
        <f>G10</f>
        <v>0</v>
      </c>
    </row>
    <row r="11" spans="1:9" ht="16.2">
      <c r="A11" s="28"/>
      <c r="B11" s="22" t="s">
        <v>40</v>
      </c>
      <c r="C11" s="91"/>
      <c r="D11" s="19"/>
      <c r="E11" s="33" t="s">
        <v>41</v>
      </c>
      <c r="F11" s="77"/>
      <c r="G11" s="81">
        <f>C11*2</f>
        <v>0</v>
      </c>
      <c r="I11" s="66">
        <f>G11</f>
        <v>0</v>
      </c>
    </row>
    <row r="12" spans="1:9" ht="16.2">
      <c r="A12" s="27">
        <v>1</v>
      </c>
      <c r="B12" s="29" t="s">
        <v>87</v>
      </c>
      <c r="C12" s="91"/>
      <c r="D12" s="30" t="s">
        <v>120</v>
      </c>
      <c r="E12" s="34"/>
      <c r="F12" s="68">
        <f>C12/F4*0.0555</f>
        <v>0</v>
      </c>
      <c r="G12" s="74"/>
      <c r="H12" s="66"/>
    </row>
    <row r="13" spans="1:9" ht="16.2">
      <c r="A13" s="27">
        <v>2</v>
      </c>
      <c r="B13" s="29" t="s">
        <v>110</v>
      </c>
      <c r="C13" s="91"/>
      <c r="D13" s="30" t="s">
        <v>121</v>
      </c>
      <c r="E13" s="34"/>
      <c r="F13" s="68">
        <f>C13/F4*0.0444</f>
        <v>0</v>
      </c>
      <c r="G13" s="74"/>
      <c r="H13" s="66"/>
    </row>
    <row r="14" spans="1:9" ht="15.6">
      <c r="A14" s="27" t="s">
        <v>138</v>
      </c>
      <c r="B14" s="22" t="s">
        <v>142</v>
      </c>
      <c r="C14" s="91"/>
      <c r="D14" s="30"/>
      <c r="E14" s="33" t="s">
        <v>85</v>
      </c>
      <c r="F14" s="78"/>
      <c r="G14" s="81">
        <f>C14/F4*0.0333</f>
        <v>0</v>
      </c>
      <c r="H14" s="66"/>
    </row>
    <row r="15" spans="1:9" ht="15.6">
      <c r="A15" s="27" t="s">
        <v>139</v>
      </c>
      <c r="B15" s="22" t="s">
        <v>143</v>
      </c>
      <c r="C15" s="91"/>
      <c r="D15" s="30"/>
      <c r="E15" s="33" t="s">
        <v>136</v>
      </c>
      <c r="F15" s="78"/>
      <c r="G15" s="81">
        <f>C15/F4*0.0232</f>
        <v>0</v>
      </c>
      <c r="H15" s="66"/>
    </row>
    <row r="16" spans="1:9" ht="16.2">
      <c r="A16" s="27">
        <v>4</v>
      </c>
      <c r="B16" s="29" t="s">
        <v>88</v>
      </c>
      <c r="C16" s="91"/>
      <c r="D16" s="30" t="s">
        <v>122</v>
      </c>
      <c r="E16" s="34"/>
      <c r="F16" s="68">
        <f>C16/F4*0.1</f>
        <v>0</v>
      </c>
      <c r="G16" s="74"/>
    </row>
    <row r="17" spans="1:16" ht="15.6">
      <c r="A17" s="27" t="s">
        <v>140</v>
      </c>
      <c r="B17" s="22" t="s">
        <v>147</v>
      </c>
      <c r="C17" s="91"/>
      <c r="D17" s="36" t="s">
        <v>135</v>
      </c>
      <c r="E17" s="36"/>
      <c r="F17" s="68">
        <f>C17/F4*0.0588</f>
        <v>0</v>
      </c>
      <c r="G17" s="74"/>
      <c r="H17" s="66"/>
    </row>
    <row r="18" spans="1:16" ht="15.6">
      <c r="A18" s="27" t="s">
        <v>141</v>
      </c>
      <c r="B18" s="22" t="s">
        <v>148</v>
      </c>
      <c r="C18" s="91"/>
      <c r="D18" s="35"/>
      <c r="E18" s="36" t="s">
        <v>136</v>
      </c>
      <c r="F18" s="79"/>
      <c r="G18" s="81">
        <f>C18/F4*0.0232</f>
        <v>0</v>
      </c>
      <c r="H18" s="66"/>
    </row>
    <row r="19" spans="1:16" ht="15.6">
      <c r="A19" s="27">
        <v>6</v>
      </c>
      <c r="B19" s="22" t="s">
        <v>42</v>
      </c>
      <c r="C19" s="91"/>
      <c r="D19" s="30" t="s">
        <v>123</v>
      </c>
      <c r="E19" s="30" t="s">
        <v>132</v>
      </c>
      <c r="F19" s="68">
        <f>C19/F4*0.333</f>
        <v>0</v>
      </c>
      <c r="G19" s="81">
        <f>C19/F4*0.167</f>
        <v>0</v>
      </c>
      <c r="H19" s="66"/>
    </row>
    <row r="20" spans="1:16" ht="16.2">
      <c r="A20" s="27">
        <v>7</v>
      </c>
      <c r="B20" s="22" t="s">
        <v>97</v>
      </c>
      <c r="C20" s="91"/>
      <c r="D20" s="30" t="s">
        <v>124</v>
      </c>
      <c r="E20" s="34"/>
      <c r="F20" s="68">
        <f>C20/F4*0.04</f>
        <v>0</v>
      </c>
      <c r="G20" s="74"/>
      <c r="H20" s="66"/>
    </row>
    <row r="21" spans="1:16" ht="15.6">
      <c r="A21" s="27">
        <v>8</v>
      </c>
      <c r="B21" s="29" t="s">
        <v>89</v>
      </c>
      <c r="C21" s="91"/>
      <c r="D21" s="30" t="s">
        <v>125</v>
      </c>
      <c r="E21" s="30" t="s">
        <v>133</v>
      </c>
      <c r="F21" s="68">
        <f>C21/F4</f>
        <v>0</v>
      </c>
      <c r="G21" s="81">
        <f>C21/F4*3.466</f>
        <v>0</v>
      </c>
      <c r="H21" s="66"/>
    </row>
    <row r="22" spans="1:16" ht="15.6">
      <c r="A22" s="27">
        <v>9</v>
      </c>
      <c r="B22" s="37" t="s">
        <v>98</v>
      </c>
      <c r="C22" s="91"/>
      <c r="D22" s="30" t="s">
        <v>126</v>
      </c>
      <c r="E22" s="30" t="s">
        <v>134</v>
      </c>
      <c r="F22" s="68">
        <f>C22/F4*1.5</f>
        <v>0</v>
      </c>
      <c r="G22" s="81">
        <f>C22/F4*4.466</f>
        <v>0</v>
      </c>
      <c r="H22" s="66"/>
      <c r="O22" s="97"/>
      <c r="P22" s="97"/>
    </row>
    <row r="23" spans="1:16" ht="16.2">
      <c r="A23" s="27">
        <v>10</v>
      </c>
      <c r="B23" s="29" t="s">
        <v>105</v>
      </c>
      <c r="C23" s="91"/>
      <c r="D23" s="30" t="s">
        <v>127</v>
      </c>
      <c r="E23" s="34"/>
      <c r="F23" s="68">
        <f>ROUNDUP((C23/F4*0.2),0)</f>
        <v>0</v>
      </c>
      <c r="G23" s="74"/>
    </row>
    <row r="24" spans="1:16" ht="16.2">
      <c r="A24" s="27">
        <v>11</v>
      </c>
      <c r="B24" s="29" t="s">
        <v>90</v>
      </c>
      <c r="C24" s="91"/>
      <c r="D24" s="30" t="s">
        <v>128</v>
      </c>
      <c r="E24" s="34"/>
      <c r="F24" s="68">
        <f>C24/F4*2</f>
        <v>0</v>
      </c>
      <c r="G24" s="74"/>
    </row>
    <row r="25" spans="1:16" ht="16.2">
      <c r="A25" s="27">
        <v>12</v>
      </c>
      <c r="B25" s="29" t="s">
        <v>92</v>
      </c>
      <c r="C25" s="91"/>
      <c r="D25" s="35" t="s">
        <v>106</v>
      </c>
      <c r="E25" s="38"/>
      <c r="F25" s="68">
        <f>C25/F4*0.25</f>
        <v>0</v>
      </c>
      <c r="G25" s="74"/>
      <c r="P25" s="98"/>
    </row>
    <row r="26" spans="1:16" ht="16.2">
      <c r="A26" s="27">
        <v>13</v>
      </c>
      <c r="B26" s="29" t="s">
        <v>91</v>
      </c>
      <c r="C26" s="91"/>
      <c r="D26" s="30" t="s">
        <v>129</v>
      </c>
      <c r="E26" s="34"/>
      <c r="F26" s="68">
        <f>C26/F4*0.25</f>
        <v>0</v>
      </c>
      <c r="G26" s="74"/>
      <c r="P26" s="98"/>
    </row>
    <row r="27" spans="1:16" ht="16.2">
      <c r="A27" s="27">
        <v>14</v>
      </c>
      <c r="B27" s="29" t="s">
        <v>93</v>
      </c>
      <c r="C27" s="91"/>
      <c r="D27" s="30" t="s">
        <v>128</v>
      </c>
      <c r="E27" s="34"/>
      <c r="F27" s="68">
        <f>C27/F4*2</f>
        <v>0</v>
      </c>
      <c r="G27" s="74"/>
      <c r="P27" s="98"/>
    </row>
    <row r="28" spans="1:16" ht="15.6">
      <c r="A28" s="27">
        <v>15</v>
      </c>
      <c r="B28" s="29" t="s">
        <v>111</v>
      </c>
      <c r="C28" s="91"/>
      <c r="D28" s="69"/>
      <c r="E28" s="35" t="s">
        <v>107</v>
      </c>
      <c r="F28" s="80"/>
      <c r="G28" s="81">
        <f>C28/F4*0.3</f>
        <v>0</v>
      </c>
      <c r="P28" s="98"/>
    </row>
    <row r="29" spans="1:16" ht="16.2">
      <c r="A29" s="27">
        <v>16</v>
      </c>
      <c r="B29" s="29" t="s">
        <v>94</v>
      </c>
      <c r="C29" s="91"/>
      <c r="D29" s="30" t="s">
        <v>130</v>
      </c>
      <c r="E29" s="34"/>
      <c r="F29" s="68">
        <f>C29/F4</f>
        <v>0</v>
      </c>
      <c r="G29" s="74"/>
      <c r="P29" s="98"/>
    </row>
    <row r="30" spans="1:16" ht="16.2">
      <c r="A30" s="27">
        <v>17</v>
      </c>
      <c r="B30" s="29" t="s">
        <v>112</v>
      </c>
      <c r="C30" s="91"/>
      <c r="D30" s="30" t="s">
        <v>131</v>
      </c>
      <c r="E30" s="34"/>
      <c r="F30" s="68">
        <f>ROUNDDOWN((C30/F4),2)</f>
        <v>0</v>
      </c>
      <c r="G30" s="74"/>
      <c r="I30" s="66">
        <f>F30</f>
        <v>0</v>
      </c>
      <c r="K30" s="66" t="s">
        <v>152</v>
      </c>
      <c r="L30" s="67">
        <f>ROUNDDOWN((C30/F4),1)</f>
        <v>0</v>
      </c>
      <c r="P30" s="98"/>
    </row>
    <row r="31" spans="1:16" ht="16.2">
      <c r="A31" s="27">
        <v>18</v>
      </c>
      <c r="B31" s="29" t="s">
        <v>95</v>
      </c>
      <c r="C31" s="91"/>
      <c r="D31" s="19"/>
      <c r="E31" s="30" t="s">
        <v>122</v>
      </c>
      <c r="F31" s="78"/>
      <c r="G31" s="81">
        <f>C31/F4*0.1</f>
        <v>0</v>
      </c>
      <c r="I31" s="66">
        <f>G31</f>
        <v>0</v>
      </c>
      <c r="K31" t="s">
        <v>153</v>
      </c>
      <c r="L31" s="67">
        <f>ROUNDDOWN((C30/F4),2)</f>
        <v>0</v>
      </c>
      <c r="P31" s="98"/>
    </row>
    <row r="32" spans="1:16" ht="16.2">
      <c r="A32" s="27">
        <v>19</v>
      </c>
      <c r="B32" s="29" t="s">
        <v>113</v>
      </c>
      <c r="C32" s="91"/>
      <c r="D32" s="19"/>
      <c r="E32" s="33" t="s">
        <v>144</v>
      </c>
      <c r="F32" s="78"/>
      <c r="G32" s="81">
        <f>C32/F4*0.00429</f>
        <v>0</v>
      </c>
      <c r="I32" s="66">
        <f>G32</f>
        <v>0</v>
      </c>
    </row>
    <row r="33" spans="1:11" ht="16.2">
      <c r="A33" s="27">
        <v>20</v>
      </c>
      <c r="B33" s="29" t="s">
        <v>96</v>
      </c>
      <c r="C33" s="91"/>
      <c r="D33" s="30" t="s">
        <v>124</v>
      </c>
      <c r="E33" s="34"/>
      <c r="F33" s="68">
        <f>C33/F4*0.04</f>
        <v>0</v>
      </c>
      <c r="G33" s="74"/>
      <c r="K33" t="str">
        <f>IF(MOD(RIGHT(F4,1),2),"Odd","Even")</f>
        <v>Even</v>
      </c>
    </row>
    <row r="34" spans="1:11" ht="15.6">
      <c r="A34" s="27">
        <v>21</v>
      </c>
      <c r="B34" s="65" t="s">
        <v>145</v>
      </c>
      <c r="C34" s="91"/>
      <c r="D34" s="35" t="s">
        <v>86</v>
      </c>
      <c r="E34" s="36" t="s">
        <v>86</v>
      </c>
      <c r="F34" s="68">
        <f>C34/F4*0.75</f>
        <v>0</v>
      </c>
      <c r="G34" s="82">
        <f>C34/F4*0.75</f>
        <v>0</v>
      </c>
    </row>
    <row r="35" spans="1:11" ht="15.6">
      <c r="A35" s="27">
        <v>22</v>
      </c>
      <c r="B35" s="65" t="s">
        <v>146</v>
      </c>
      <c r="C35" s="91"/>
      <c r="D35" s="70"/>
      <c r="E35" s="35" t="s">
        <v>84</v>
      </c>
      <c r="F35" s="78"/>
      <c r="G35" s="81">
        <f>C35/F4*0.15</f>
        <v>0</v>
      </c>
    </row>
    <row r="36" spans="1:11" ht="15.6">
      <c r="A36" s="27">
        <v>23</v>
      </c>
      <c r="B36" s="22" t="s">
        <v>99</v>
      </c>
      <c r="C36" s="91"/>
      <c r="D36" s="30" t="s">
        <v>128</v>
      </c>
      <c r="E36" s="30" t="s">
        <v>128</v>
      </c>
      <c r="F36" s="68">
        <f>C36/F4*2</f>
        <v>0</v>
      </c>
      <c r="G36" s="81">
        <f>C36/F4*2</f>
        <v>0</v>
      </c>
    </row>
    <row r="37" spans="1:11" ht="16.2">
      <c r="A37" s="27">
        <v>24</v>
      </c>
      <c r="B37" s="29" t="s">
        <v>100</v>
      </c>
      <c r="C37" s="91"/>
      <c r="D37" s="19"/>
      <c r="E37" s="30" t="s">
        <v>128</v>
      </c>
      <c r="F37" s="78"/>
      <c r="G37" s="81">
        <f>C37/F4*2</f>
        <v>0</v>
      </c>
    </row>
    <row r="38" spans="1:11" ht="15.6">
      <c r="A38" s="27">
        <v>25</v>
      </c>
      <c r="B38" s="29" t="s">
        <v>101</v>
      </c>
      <c r="C38" s="91"/>
      <c r="D38" s="30" t="s">
        <v>126</v>
      </c>
      <c r="E38" s="30" t="s">
        <v>128</v>
      </c>
      <c r="F38" s="68">
        <f>C38/F4*1.5</f>
        <v>0</v>
      </c>
      <c r="G38" s="81">
        <f>C38/F4*2</f>
        <v>0</v>
      </c>
    </row>
    <row r="39" spans="1:11" ht="16.2">
      <c r="A39" s="27">
        <v>26</v>
      </c>
      <c r="B39" s="29" t="s">
        <v>114</v>
      </c>
      <c r="C39" s="91"/>
      <c r="D39" s="30" t="s">
        <v>129</v>
      </c>
      <c r="E39" s="34"/>
      <c r="F39" s="68" t="e">
        <f>IF('RT INFO'!B4/'MAILCOUNT CALCULATOR'!C7&lt;12,0,C39/F4*0.25)</f>
        <v>#DIV/0!</v>
      </c>
      <c r="G39" s="74"/>
    </row>
    <row r="40" spans="1:11" ht="16.2">
      <c r="A40" s="27">
        <v>27</v>
      </c>
      <c r="B40" s="29" t="s">
        <v>102</v>
      </c>
      <c r="C40" s="92"/>
      <c r="D40" s="30"/>
      <c r="E40" s="34"/>
      <c r="F40" s="79"/>
      <c r="G40" s="74"/>
    </row>
    <row r="41" spans="1:11" ht="16.2">
      <c r="A41" s="27">
        <v>28</v>
      </c>
      <c r="B41" s="29" t="s">
        <v>103</v>
      </c>
      <c r="C41" s="92"/>
      <c r="D41" s="30"/>
      <c r="E41" s="34"/>
      <c r="F41" s="79"/>
      <c r="G41" s="74"/>
    </row>
    <row r="42" spans="1:11" ht="16.2">
      <c r="A42" s="27">
        <v>29</v>
      </c>
      <c r="B42" s="29" t="s">
        <v>102</v>
      </c>
      <c r="C42" s="92"/>
      <c r="D42" s="30"/>
      <c r="E42" s="34"/>
      <c r="F42" s="79"/>
      <c r="G42" s="74"/>
    </row>
    <row r="43" spans="1:11" ht="16.2">
      <c r="A43" s="27">
        <v>30</v>
      </c>
      <c r="B43" s="29" t="s">
        <v>102</v>
      </c>
      <c r="C43" s="92"/>
      <c r="D43" s="30"/>
      <c r="E43" s="34"/>
      <c r="F43" s="79"/>
      <c r="G43" s="74"/>
    </row>
    <row r="44" spans="1:11" ht="16.2">
      <c r="A44" s="27"/>
      <c r="B44" s="22" t="s">
        <v>82</v>
      </c>
      <c r="C44" s="39"/>
      <c r="D44" s="30">
        <v>20</v>
      </c>
      <c r="E44" s="34"/>
      <c r="F44" s="68">
        <v>20</v>
      </c>
      <c r="G44" s="74"/>
      <c r="I44" s="66">
        <f>F44</f>
        <v>20</v>
      </c>
    </row>
    <row r="45" spans="1:11" ht="15.6">
      <c r="A45" s="27"/>
      <c r="B45" s="29" t="s">
        <v>104</v>
      </c>
      <c r="C45" s="92" t="s">
        <v>83</v>
      </c>
      <c r="D45" s="30">
        <v>6</v>
      </c>
      <c r="E45" s="40"/>
      <c r="F45" s="73">
        <v>6</v>
      </c>
      <c r="G45" s="75"/>
      <c r="I45" s="67">
        <f>F45</f>
        <v>6</v>
      </c>
    </row>
    <row r="46" spans="1:11" ht="16.2">
      <c r="A46" s="27"/>
      <c r="B46" s="29" t="s">
        <v>43</v>
      </c>
      <c r="C46" s="39"/>
      <c r="D46" s="33" t="s">
        <v>137</v>
      </c>
      <c r="E46" s="34"/>
      <c r="F46" s="68">
        <f>((C12+C13+C16+C17-C26)/F4)*0.01428</f>
        <v>0</v>
      </c>
      <c r="G46" s="74"/>
    </row>
    <row r="47" spans="1:11" ht="16.2">
      <c r="A47" s="27"/>
      <c r="B47" s="29" t="s">
        <v>115</v>
      </c>
      <c r="C47" s="39"/>
      <c r="D47" s="30">
        <v>30</v>
      </c>
      <c r="E47" s="34"/>
      <c r="F47" s="68">
        <v>30</v>
      </c>
      <c r="G47" s="74"/>
      <c r="I47" s="66">
        <f>F47</f>
        <v>30</v>
      </c>
    </row>
    <row r="48" spans="1:11" ht="16.2">
      <c r="A48" s="27"/>
      <c r="B48" s="29" t="s">
        <v>44</v>
      </c>
      <c r="C48" s="91"/>
      <c r="D48" s="19"/>
      <c r="E48" s="30" t="s">
        <v>108</v>
      </c>
      <c r="F48" s="78"/>
      <c r="G48" s="81">
        <f>C48*30</f>
        <v>0</v>
      </c>
      <c r="I48" s="66">
        <f>G48</f>
        <v>0</v>
      </c>
    </row>
    <row r="49" spans="1:9" ht="16.2">
      <c r="A49" s="27"/>
      <c r="B49" s="22" t="s">
        <v>45</v>
      </c>
      <c r="C49" s="91"/>
      <c r="D49" s="30" t="s">
        <v>46</v>
      </c>
      <c r="E49" s="34"/>
      <c r="F49" s="68">
        <f>C49*30</f>
        <v>0</v>
      </c>
      <c r="G49" s="74"/>
      <c r="I49" s="66">
        <f>F49</f>
        <v>0</v>
      </c>
    </row>
    <row r="50" spans="1:9" ht="15.6">
      <c r="A50" s="27"/>
      <c r="B50" s="29" t="s">
        <v>47</v>
      </c>
      <c r="C50" s="91"/>
      <c r="D50" s="70"/>
      <c r="E50" s="30" t="s">
        <v>117</v>
      </c>
      <c r="F50" s="68">
        <f>IF(C50&gt;0,'RT INFO'!E43,0)</f>
        <v>0</v>
      </c>
      <c r="G50" s="83"/>
      <c r="I50" s="66">
        <f>F50</f>
        <v>0</v>
      </c>
    </row>
    <row r="51" spans="1:9" ht="15.6">
      <c r="A51" s="27"/>
      <c r="B51" s="22" t="s">
        <v>81</v>
      </c>
      <c r="C51" s="41"/>
      <c r="D51" s="30"/>
      <c r="E51" s="42" t="s">
        <v>118</v>
      </c>
      <c r="F51" s="43"/>
      <c r="G51" s="81">
        <v>18</v>
      </c>
      <c r="I51" s="66">
        <f>G51</f>
        <v>18</v>
      </c>
    </row>
    <row r="52" spans="1:9" ht="15.6">
      <c r="A52" s="27"/>
      <c r="B52" s="22"/>
      <c r="C52" s="44" t="s">
        <v>5</v>
      </c>
      <c r="D52" s="45" t="s">
        <v>6</v>
      </c>
      <c r="E52" s="46" t="s">
        <v>2</v>
      </c>
      <c r="F52" s="47" t="s">
        <v>3</v>
      </c>
      <c r="G52" s="48" t="s">
        <v>4</v>
      </c>
    </row>
    <row r="53" spans="1:9" ht="15.6">
      <c r="A53" s="27"/>
      <c r="B53" s="49" t="s">
        <v>7</v>
      </c>
      <c r="C53" s="2" t="e">
        <f>INT(F53/60)</f>
        <v>#DIV/0!</v>
      </c>
      <c r="D53" s="84" t="e">
        <f>ROUND((F53/60-INT(F53/60))*60,0)</f>
        <v>#DIV/0!</v>
      </c>
      <c r="E53" s="50" t="e">
        <f>F53+G53</f>
        <v>#DIV/0!</v>
      </c>
      <c r="F53" s="51" t="e">
        <f>SUM(F12:F52)</f>
        <v>#DIV/0!</v>
      </c>
      <c r="G53" s="52" t="e">
        <f>SUM(G7:G51)</f>
        <v>#DIV/0!</v>
      </c>
    </row>
    <row r="54" spans="1:9" ht="15.6">
      <c r="A54" s="28"/>
      <c r="B54" s="49" t="s">
        <v>48</v>
      </c>
      <c r="C54" s="2" t="e">
        <f>INT(G53/60)</f>
        <v>#DIV/0!</v>
      </c>
      <c r="D54" s="84" t="e">
        <f>ROUND((G53/60-INT(G53/60))*60,0)</f>
        <v>#DIV/0!</v>
      </c>
      <c r="E54" s="53"/>
      <c r="F54" s="54"/>
      <c r="G54" s="55"/>
    </row>
    <row r="55" spans="1:9" ht="15.6">
      <c r="A55" s="56"/>
      <c r="B55" s="49" t="s">
        <v>49</v>
      </c>
      <c r="C55" s="71" t="e">
        <f>INT(E53/60)</f>
        <v>#DIV/0!</v>
      </c>
      <c r="D55" s="85" t="e">
        <f>ROUND((E53/60-INT(E53/60))*60,0)</f>
        <v>#DIV/0!</v>
      </c>
      <c r="E55" s="53"/>
      <c r="F55" s="54"/>
      <c r="G55" s="55"/>
      <c r="I55" s="66" t="e">
        <f>SUM(I7:I54)</f>
        <v>#DIV/0!</v>
      </c>
    </row>
    <row r="56" spans="1:9" ht="15.75" customHeight="1">
      <c r="A56" s="56"/>
      <c r="B56" s="49" t="s">
        <v>149</v>
      </c>
      <c r="C56" s="86" t="e">
        <f>I56</f>
        <v>#DIV/0!</v>
      </c>
      <c r="D56" s="57"/>
      <c r="E56" s="53"/>
      <c r="F56" s="58"/>
      <c r="G56" s="55"/>
      <c r="I56" t="e">
        <f>(E53-I55)/(C8+C9)</f>
        <v>#DIV/0!</v>
      </c>
    </row>
    <row r="57" spans="1:9">
      <c r="A57" s="99" t="s">
        <v>150</v>
      </c>
      <c r="B57" s="100"/>
      <c r="C57" s="100"/>
      <c r="D57" s="100"/>
      <c r="E57" s="100"/>
      <c r="F57" s="100"/>
      <c r="G57" s="101"/>
    </row>
    <row r="58" spans="1:9" ht="14.25" customHeight="1">
      <c r="A58" s="102"/>
      <c r="B58" s="100"/>
      <c r="C58" s="100"/>
      <c r="D58" s="100"/>
      <c r="E58" s="100"/>
      <c r="F58" s="100"/>
      <c r="G58" s="101"/>
    </row>
    <row r="59" spans="1:9" ht="12" thickBot="1">
      <c r="A59" s="72" t="s">
        <v>155</v>
      </c>
      <c r="B59" s="59"/>
      <c r="C59" s="59"/>
      <c r="D59" s="60"/>
      <c r="E59" s="61"/>
      <c r="F59" s="59"/>
      <c r="G59" s="62"/>
    </row>
  </sheetData>
  <sheetProtection selectLockedCells="1"/>
  <mergeCells count="4">
    <mergeCell ref="A57:G58"/>
    <mergeCell ref="A1:G1"/>
    <mergeCell ref="A2:G2"/>
    <mergeCell ref="A3:B3"/>
  </mergeCells>
  <phoneticPr fontId="14" type="noConversion"/>
  <printOptions horizontalCentered="1"/>
  <pageMargins left="0.24803149599999999" right="0.24803149599999999" top="0.24803149599999999" bottom="0.35" header="0.511811023622047" footer="0.25181102399999999"/>
  <pageSetup scale="84" orientation="portrait" blackAndWhite="1" horizontalDpi="1200" verticalDpi="1200" r:id="rId1"/>
  <headerFooter alignWithMargins="0">
    <oddFooter>&amp;RPRINTED:  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Button 3">
              <controlPr defaultSize="0" print="0" autoFill="0" autoPict="0" macro="[0]!CLEAR2">
                <anchor moveWithCells="1" sizeWithCells="1">
                  <from>
                    <xdr:col>4</xdr:col>
                    <xdr:colOff>198120</xdr:colOff>
                    <xdr:row>53</xdr:row>
                    <xdr:rowOff>121920</xdr:rowOff>
                  </from>
                  <to>
                    <xdr:col>4</xdr:col>
                    <xdr:colOff>1143000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Button 4">
              <controlPr defaultSize="0" print="0" autoFill="0" autoPict="0" macro="[0]!Macro1">
                <anchor moveWithCells="1" sizeWithCells="1">
                  <from>
                    <xdr:col>4</xdr:col>
                    <xdr:colOff>1303020</xdr:colOff>
                    <xdr:row>53</xdr:row>
                    <xdr:rowOff>121920</xdr:rowOff>
                  </from>
                  <to>
                    <xdr:col>5</xdr:col>
                    <xdr:colOff>693420</xdr:colOff>
                    <xdr:row>55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Button 6">
              <controlPr defaultSize="0" print="0" autoFill="0" autoPict="0" macro="[0]!Button4_Click">
                <anchor moveWithCells="1" sizeWithCells="1">
                  <from>
                    <xdr:col>5</xdr:col>
                    <xdr:colOff>830580</xdr:colOff>
                    <xdr:row>53</xdr:row>
                    <xdr:rowOff>121920</xdr:rowOff>
                  </from>
                  <to>
                    <xdr:col>6</xdr:col>
                    <xdr:colOff>838200</xdr:colOff>
                    <xdr:row>55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0"/>
  <sheetViews>
    <sheetView zoomScaleNormal="100" workbookViewId="0">
      <selection activeCell="B11" sqref="B11"/>
    </sheetView>
  </sheetViews>
  <sheetFormatPr defaultColWidth="29.75" defaultRowHeight="11.4"/>
  <sheetData>
    <row r="1" spans="1:7" ht="15.6">
      <c r="A1" s="5"/>
      <c r="B1" s="6" t="s">
        <v>16</v>
      </c>
      <c r="C1" s="5"/>
      <c r="D1" s="5"/>
      <c r="E1" s="5"/>
      <c r="F1" s="5"/>
      <c r="G1" s="4"/>
    </row>
    <row r="2" spans="1:7" ht="13.2">
      <c r="A2" s="5"/>
      <c r="B2" s="5"/>
      <c r="C2" s="5"/>
      <c r="D2" s="5"/>
      <c r="E2" s="5"/>
      <c r="F2" s="5"/>
      <c r="G2" s="4"/>
    </row>
    <row r="3" spans="1:7" ht="13.2">
      <c r="A3" s="5"/>
      <c r="B3" s="5"/>
      <c r="C3" s="7" t="s">
        <v>75</v>
      </c>
      <c r="D3" s="7" t="s">
        <v>74</v>
      </c>
      <c r="E3" s="5"/>
      <c r="F3" s="5"/>
      <c r="G3" s="4"/>
    </row>
    <row r="4" spans="1:7" ht="13.2">
      <c r="A4" s="5" t="s">
        <v>52</v>
      </c>
      <c r="B4" s="8">
        <f>'MAILCOUNT CALCULATOR'!C8+'MAILCOUNT CALCULATOR'!C9</f>
        <v>0</v>
      </c>
      <c r="C4" s="9" t="e">
        <f>'MAILCOUNT CALCULATOR'!G8/'MAILCOUNT CALCULATOR'!C8</f>
        <v>#DIV/0!</v>
      </c>
      <c r="D4" s="9" t="e">
        <f>'MAILCOUNT CALCULATOR'!G9/'MAILCOUNT CALCULATOR'!C9</f>
        <v>#DIV/0!</v>
      </c>
      <c r="E4" s="10"/>
      <c r="F4" s="5"/>
      <c r="G4" s="4"/>
    </row>
    <row r="5" spans="1:7" ht="13.2">
      <c r="A5" s="5"/>
      <c r="B5" s="5"/>
      <c r="C5" s="5"/>
      <c r="D5" s="5"/>
      <c r="E5" s="5"/>
      <c r="F5" s="5"/>
      <c r="G5" s="4"/>
    </row>
    <row r="6" spans="1:7" ht="13.2">
      <c r="A6" s="5" t="s">
        <v>55</v>
      </c>
      <c r="B6" s="11">
        <f>F43*52</f>
        <v>312</v>
      </c>
      <c r="C6" s="5" t="s">
        <v>56</v>
      </c>
      <c r="D6" s="5"/>
      <c r="E6" s="5"/>
      <c r="F6" s="5"/>
      <c r="G6" s="4"/>
    </row>
    <row r="7" spans="1:7" ht="13.2">
      <c r="A7" s="5" t="s">
        <v>62</v>
      </c>
      <c r="B7" s="10" t="e">
        <f>'RT INFO'!B4/'MAILCOUNT CALCULATOR'!C7</f>
        <v>#DIV/0!</v>
      </c>
      <c r="C7" s="5" t="s">
        <v>63</v>
      </c>
      <c r="D7" s="5"/>
      <c r="E7" s="5"/>
      <c r="F7" s="5"/>
      <c r="G7" s="4"/>
    </row>
    <row r="8" spans="1:7" ht="13.2">
      <c r="A8" s="5" t="s">
        <v>64</v>
      </c>
      <c r="B8" s="8">
        <f>'MAILCOUNT CALCULATOR'!C7*302</f>
        <v>0</v>
      </c>
      <c r="C8" s="5"/>
      <c r="D8" s="5"/>
      <c r="E8" s="5"/>
      <c r="F8" s="5"/>
      <c r="G8" s="4"/>
    </row>
    <row r="9" spans="1:7" ht="13.2">
      <c r="A9" s="5" t="s">
        <v>53</v>
      </c>
      <c r="B9" s="8">
        <f>B4*302</f>
        <v>0</v>
      </c>
      <c r="C9" s="5"/>
      <c r="D9" s="5"/>
      <c r="E9" s="5"/>
      <c r="F9" s="5"/>
      <c r="G9" s="4"/>
    </row>
    <row r="10" spans="1:7" ht="13.2">
      <c r="A10" s="5" t="s">
        <v>57</v>
      </c>
      <c r="B10" s="8">
        <f>'RT INFO'!B4*10</f>
        <v>0</v>
      </c>
      <c r="C10" s="5" t="s">
        <v>58</v>
      </c>
      <c r="D10" s="5"/>
      <c r="E10" s="5"/>
      <c r="F10" s="5"/>
      <c r="G10" s="4"/>
    </row>
    <row r="11" spans="1:7" ht="13.2">
      <c r="A11" s="5" t="s">
        <v>71</v>
      </c>
      <c r="B11" s="12" t="e">
        <f>'MAILCOUNT CALCULATOR'!E53-('MAILCOUNT CALCULATOR'!F30+'MAILCOUNT CALCULATOR'!F45+'MAILCOUNT CALCULATOR'!F39+'MAILCOUNT CALCULATOR'!F47+'MAILCOUNT CALCULATOR'!F49+'MAILCOUNT CALCULATOR'!G7+'MAILCOUNT CALCULATOR'!G8+'MAILCOUNT CALCULATOR'!G9+'MAILCOUNT CALCULATOR'!G10+'MAILCOUNT CALCULATOR'!G11+'MAILCOUNT CALCULATOR'!G31+'MAILCOUNT CALCULATOR'!G32+'MAILCOUNT CALCULATOR'!G48+'MAILCOUNT CALCULATOR'!G50+'MAILCOUNT CALCULATOR'!F50)</f>
        <v>#DIV/0!</v>
      </c>
      <c r="C11" s="5" t="s">
        <v>56</v>
      </c>
      <c r="D11" s="5"/>
      <c r="E11" s="5"/>
      <c r="F11" s="5"/>
      <c r="G11" s="4"/>
    </row>
    <row r="12" spans="1:7" ht="13.2">
      <c r="A12" s="13" t="s">
        <v>79</v>
      </c>
      <c r="B12" s="9" t="e">
        <f>B11/B4</f>
        <v>#DIV/0!</v>
      </c>
      <c r="C12" s="13"/>
      <c r="D12" s="5"/>
      <c r="E12" s="5"/>
      <c r="F12" s="5"/>
      <c r="G12" s="4"/>
    </row>
    <row r="13" spans="1:7" ht="13.2">
      <c r="A13" s="5" t="s">
        <v>65</v>
      </c>
      <c r="B13" s="7" t="e">
        <f>ROUND(60/(B12+1),0)</f>
        <v>#DIV/0!</v>
      </c>
      <c r="C13" s="5" t="s">
        <v>72</v>
      </c>
      <c r="D13" s="5"/>
      <c r="E13" s="14" t="e">
        <f>B12+1</f>
        <v>#DIV/0!</v>
      </c>
      <c r="F13" s="5"/>
      <c r="G13" s="4"/>
    </row>
    <row r="14" spans="1:7" ht="13.2">
      <c r="A14" s="5" t="s">
        <v>66</v>
      </c>
      <c r="B14" s="7" t="e">
        <f>ROUND(60/(B12+C4),0)</f>
        <v>#DIV/0!</v>
      </c>
      <c r="C14" s="5" t="s">
        <v>72</v>
      </c>
      <c r="D14" s="5"/>
      <c r="E14" s="14" t="e">
        <f>B12+C4</f>
        <v>#DIV/0!</v>
      </c>
      <c r="F14" s="5"/>
      <c r="G14" s="4"/>
    </row>
    <row r="15" spans="1:7" ht="13.2">
      <c r="A15" s="5"/>
      <c r="B15" s="5"/>
      <c r="C15" s="5"/>
      <c r="D15" s="5"/>
      <c r="E15" s="5"/>
      <c r="F15" s="5"/>
      <c r="G15" s="4"/>
    </row>
    <row r="16" spans="1:7" ht="13.2">
      <c r="A16" s="5" t="s">
        <v>59</v>
      </c>
      <c r="B16" s="10">
        <f>('MAILCOUNT CALCULATOR'!C15*0.0333-'MAILCOUNT CALCULATOR'!C15*0.0555)/'MAILCOUNT CALCULATOR'!F4</f>
        <v>0</v>
      </c>
      <c r="C16" s="5" t="s">
        <v>56</v>
      </c>
      <c r="D16" s="10">
        <f>B16/60</f>
        <v>0</v>
      </c>
      <c r="E16" s="5" t="s">
        <v>76</v>
      </c>
      <c r="F16" s="5"/>
      <c r="G16" s="4"/>
    </row>
    <row r="17" spans="1:7" ht="13.2">
      <c r="A17" s="5" t="s">
        <v>60</v>
      </c>
      <c r="B17" s="10" t="e">
        <f>B16/B18*0.01</f>
        <v>#DIV/0!</v>
      </c>
      <c r="C17" s="5" t="s">
        <v>56</v>
      </c>
      <c r="D17" s="5"/>
      <c r="E17" s="5"/>
      <c r="F17" s="5"/>
      <c r="G17" s="4"/>
    </row>
    <row r="18" spans="1:7" ht="13.2">
      <c r="A18" s="17" t="s">
        <v>116</v>
      </c>
      <c r="B18" s="15" t="e">
        <f>'MAILCOUNT CALCULATOR'!C15/('MAILCOUNT CALCULATOR'!C12+'MAILCOUNT CALCULATOR'!C13+'MAILCOUNT CALCULATOR'!C15)</f>
        <v>#DIV/0!</v>
      </c>
      <c r="C18" s="5"/>
      <c r="D18" s="5"/>
      <c r="E18" s="5"/>
      <c r="F18" s="5"/>
      <c r="G18" s="4"/>
    </row>
    <row r="19" spans="1:7" ht="13.2">
      <c r="A19" s="5" t="s">
        <v>61</v>
      </c>
      <c r="B19" s="8">
        <f>'MAILCOUNT CALCULATOR'!C15/'MAILCOUNT CALCULATOR'!F4*52</f>
        <v>0</v>
      </c>
      <c r="C19" s="5"/>
      <c r="D19" s="5"/>
      <c r="E19" s="5"/>
      <c r="F19" s="5"/>
      <c r="G19" s="4"/>
    </row>
    <row r="20" spans="1:7" ht="13.2">
      <c r="A20" s="5" t="s">
        <v>24</v>
      </c>
      <c r="B20" s="10">
        <f>B19/144000</f>
        <v>0</v>
      </c>
      <c r="C20" s="5" t="s">
        <v>8</v>
      </c>
      <c r="D20" s="5"/>
      <c r="E20" s="5"/>
      <c r="F20" s="5"/>
      <c r="G20" s="4"/>
    </row>
    <row r="21" spans="1:7" ht="13.2">
      <c r="A21" s="5" t="s">
        <v>18</v>
      </c>
      <c r="B21" s="10">
        <f>'MAILCOUNT CALCULATOR'!G15/6</f>
        <v>0</v>
      </c>
      <c r="C21" s="5" t="s">
        <v>9</v>
      </c>
      <c r="D21" s="5"/>
      <c r="E21" s="5"/>
      <c r="F21" s="5"/>
      <c r="G21" s="4"/>
    </row>
    <row r="22" spans="1:7" ht="13.2">
      <c r="A22" s="5"/>
      <c r="B22" s="10"/>
      <c r="C22" s="5" t="s">
        <v>19</v>
      </c>
      <c r="D22" s="5"/>
      <c r="E22" s="5"/>
      <c r="F22" s="5"/>
      <c r="G22" s="4"/>
    </row>
    <row r="23" spans="1:7" ht="13.2">
      <c r="A23" s="5"/>
      <c r="B23" s="10"/>
      <c r="C23" s="5"/>
      <c r="D23" s="5"/>
      <c r="E23" s="5"/>
      <c r="F23" s="5"/>
      <c r="G23" s="4"/>
    </row>
    <row r="24" spans="1:7" ht="13.2">
      <c r="A24" s="17" t="s">
        <v>109</v>
      </c>
      <c r="B24" s="18" t="e">
        <f>'MAILCOUNT CALCULATOR'!C17/('MAILCOUNT CALCULATOR'!C16 + 'MAILCOUNT CALCULATOR'!C17)</f>
        <v>#DIV/0!</v>
      </c>
      <c r="C24" s="5"/>
      <c r="D24" s="5"/>
      <c r="E24" s="5"/>
      <c r="F24" s="5"/>
      <c r="G24" s="4"/>
    </row>
    <row r="25" spans="1:7" ht="13.2">
      <c r="A25" s="5"/>
      <c r="B25" s="5"/>
      <c r="C25" s="5"/>
      <c r="D25" s="5"/>
      <c r="E25" s="5"/>
      <c r="F25" s="5"/>
      <c r="G25" s="4"/>
    </row>
    <row r="26" spans="1:7" ht="13.2">
      <c r="A26" s="5" t="s">
        <v>77</v>
      </c>
      <c r="B26" s="10" t="e">
        <f>('MAILCOUNT CALCULATOR'!C8+'MAILCOUNT CALCULATOR'!C9)/('MAILCOUNT CALCULATOR'!E53/60)</f>
        <v>#DIV/0!</v>
      </c>
      <c r="C26" s="5"/>
      <c r="D26" s="5"/>
      <c r="E26" s="5"/>
      <c r="F26" s="5"/>
      <c r="G26" s="4"/>
    </row>
    <row r="27" spans="1:7" ht="13.2">
      <c r="A27" s="5" t="s">
        <v>78</v>
      </c>
      <c r="B27" s="10" t="e">
        <f>('MAILCOUNT CALCULATOR'!C8+'MAILCOUNT CALCULATOR'!C9)/('MAILCOUNT CALCULATOR'!G53/60)</f>
        <v>#DIV/0!</v>
      </c>
      <c r="C27" s="5"/>
      <c r="D27" s="5"/>
      <c r="E27" s="5"/>
      <c r="F27" s="5"/>
      <c r="G27" s="4"/>
    </row>
    <row r="28" spans="1:7" ht="13.2">
      <c r="A28" s="5" t="s">
        <v>80</v>
      </c>
      <c r="B28" s="15" t="e">
        <f>'MAILCOUNT CALCULATOR'!C24/'MAILCOUNT CALCULATOR'!F4*52/('MAILCOUNT CALCULATOR'!C8+'MAILCOUNT CALCULATOR'!C9)</f>
        <v>#DIV/0!</v>
      </c>
      <c r="C28" s="5"/>
      <c r="D28" s="5"/>
      <c r="E28" s="5"/>
      <c r="F28" s="5"/>
      <c r="G28" s="4"/>
    </row>
    <row r="29" spans="1:7" ht="13.2">
      <c r="A29" s="5" t="s">
        <v>10</v>
      </c>
      <c r="B29" s="8">
        <f>('MAILCOUNT CALCULATOR'!C12+'MAILCOUNT CALCULATOR'!C13+'MAILCOUNT CALCULATOR'!C16+'MAILCOUNT CALCULATOR'!C19+'MAILCOUNT CALCULATOR'!C20+'MAILCOUNT CALCULATOR'!C21+'MAILCOUNT CALCULATOR'!C22+'MAILCOUNT CALCULATOR'!C23+'MAILCOUNT CALCULATOR'!C24+'MAILCOUNT CALCULATOR'!C14+'MAILCOUNT CALCULATOR'!C17+'MAILCOUNT CALCULATOR'!C15+'MAILCOUNT CALCULATOR'!C18+'MAILCOUNT CALCULATOR'!C33+'MAILCOUNT CALCULATOR'!C36+'MAILCOUNT CALCULATOR'!C37+'MAILCOUNT CALCULATOR'!C35/'MAILCOUNT CALCULATOR'!F4*52)</f>
        <v>0</v>
      </c>
      <c r="C29" s="5"/>
      <c r="D29" s="5"/>
      <c r="E29" s="5"/>
      <c r="F29" s="5"/>
      <c r="G29" s="4"/>
    </row>
    <row r="30" spans="1:7" ht="13.2">
      <c r="A30" s="5" t="s">
        <v>11</v>
      </c>
      <c r="B30" s="8" t="e">
        <f>B29/B4</f>
        <v>#DIV/0!</v>
      </c>
      <c r="C30" s="5"/>
      <c r="D30" s="5"/>
      <c r="E30" s="5"/>
      <c r="F30" s="5"/>
      <c r="G30" s="4"/>
    </row>
    <row r="31" spans="1:7" ht="13.2">
      <c r="A31" s="5" t="s">
        <v>15</v>
      </c>
      <c r="B31" s="10" t="e">
        <f>B30/302</f>
        <v>#DIV/0!</v>
      </c>
      <c r="C31" s="5"/>
      <c r="D31" s="5"/>
      <c r="E31" s="5"/>
      <c r="F31" s="5"/>
      <c r="G31" s="4"/>
    </row>
    <row r="32" spans="1:7" ht="13.2">
      <c r="A32" s="5"/>
      <c r="B32" s="10"/>
      <c r="C32" s="5"/>
      <c r="D32" s="5"/>
      <c r="E32" s="5"/>
      <c r="F32" s="5"/>
      <c r="G32" s="4"/>
    </row>
    <row r="33" spans="1:7" ht="13.2">
      <c r="A33" s="5" t="s">
        <v>20</v>
      </c>
      <c r="B33" s="15" t="e">
        <f>'MAILCOUNT CALCULATOR'!F53/('MAILCOUNT CALCULATOR'!G53+'MAILCOUNT CALCULATOR'!F53)</f>
        <v>#DIV/0!</v>
      </c>
      <c r="C33" s="5"/>
      <c r="D33" s="5"/>
      <c r="E33" s="5"/>
      <c r="F33" s="5"/>
      <c r="G33" s="4"/>
    </row>
    <row r="34" spans="1:7" ht="13.2">
      <c r="A34" s="5" t="s">
        <v>21</v>
      </c>
      <c r="B34" s="15" t="e">
        <f>'MAILCOUNT CALCULATOR'!G53/('MAILCOUNT CALCULATOR'!F53+'MAILCOUNT CALCULATOR'!G53)</f>
        <v>#DIV/0!</v>
      </c>
      <c r="C34" s="5"/>
      <c r="D34" s="5"/>
      <c r="E34" s="5"/>
      <c r="F34" s="5"/>
      <c r="G34" s="4"/>
    </row>
    <row r="35" spans="1:7" ht="13.2">
      <c r="A35" s="5" t="s">
        <v>23</v>
      </c>
      <c r="B35" s="10" t="e">
        <f>'MAILCOUNT CALCULATOR'!F53/6/60</f>
        <v>#DIV/0!</v>
      </c>
      <c r="C35" s="5"/>
      <c r="D35" s="5"/>
      <c r="E35" s="5"/>
      <c r="F35" s="5"/>
      <c r="G35" s="4"/>
    </row>
    <row r="36" spans="1:7" ht="13.2">
      <c r="A36" s="5" t="s">
        <v>22</v>
      </c>
      <c r="B36" s="10" t="e">
        <f>'MAILCOUNT CALCULATOR'!G53/6/60</f>
        <v>#DIV/0!</v>
      </c>
      <c r="C36" s="5"/>
      <c r="D36" s="5"/>
      <c r="E36" s="5"/>
      <c r="F36" s="5"/>
      <c r="G36" s="4"/>
    </row>
    <row r="37" spans="1:7" ht="13.2">
      <c r="A37" s="16"/>
      <c r="B37" s="16"/>
      <c r="C37" s="5"/>
      <c r="D37" s="5"/>
      <c r="E37" s="5"/>
      <c r="F37" s="5"/>
      <c r="G37" s="4"/>
    </row>
    <row r="38" spans="1:7" ht="13.2">
      <c r="A38" s="16"/>
      <c r="B38" s="16"/>
      <c r="C38" s="5"/>
      <c r="D38" s="5"/>
      <c r="E38" s="5"/>
      <c r="F38" s="5"/>
      <c r="G38" s="4"/>
    </row>
    <row r="39" spans="1:7" ht="13.2">
      <c r="A39" s="5" t="s">
        <v>12</v>
      </c>
      <c r="B39" s="15" t="e">
        <f>B11/'MAILCOUNT CALCULATOR'!E53</f>
        <v>#DIV/0!</v>
      </c>
      <c r="C39" s="5"/>
      <c r="D39" s="5"/>
      <c r="E39" s="5"/>
      <c r="F39" s="5"/>
      <c r="G39" s="4"/>
    </row>
    <row r="40" spans="1:7" ht="13.2">
      <c r="A40" s="5" t="s">
        <v>13</v>
      </c>
      <c r="B40" s="15" t="e">
        <f>('MAILCOUNT CALCULATOR'!G8+'MAILCOUNT CALCULATOR'!G9)/'MAILCOUNT CALCULATOR'!E53</f>
        <v>#DIV/0!</v>
      </c>
      <c r="C40" s="5"/>
      <c r="D40" s="5"/>
      <c r="E40" s="5"/>
      <c r="F40" s="5"/>
      <c r="G40" s="4"/>
    </row>
    <row r="41" spans="1:7" ht="13.2">
      <c r="A41" s="5" t="s">
        <v>14</v>
      </c>
      <c r="B41" s="15" t="e">
        <f>'MAILCOUNT CALCULATOR'!G7/'MAILCOUNT CALCULATOR'!E53</f>
        <v>#DIV/0!</v>
      </c>
      <c r="C41" s="5"/>
      <c r="D41" s="5"/>
      <c r="E41" s="5"/>
      <c r="F41" s="5"/>
      <c r="G41" s="4"/>
    </row>
    <row r="42" spans="1:7" ht="13.2">
      <c r="A42" s="5" t="s">
        <v>17</v>
      </c>
      <c r="B42" s="15" t="e">
        <f>'MAILCOUNT CALCULATOR'!F16/'MAILCOUNT CALCULATOR'!E53</f>
        <v>#DIV/0!</v>
      </c>
      <c r="C42" s="5"/>
      <c r="D42" s="5"/>
      <c r="E42" s="5"/>
      <c r="F42" s="5"/>
      <c r="G42" s="4"/>
    </row>
    <row r="43" spans="1:7" ht="13.2">
      <c r="A43" s="5" t="s">
        <v>54</v>
      </c>
      <c r="B43" s="11">
        <f>'MAILCOUNT CALCULATOR'!C7*6/100*4.5</f>
        <v>0</v>
      </c>
      <c r="C43" s="7" t="s">
        <v>67</v>
      </c>
      <c r="D43" s="12">
        <v>24</v>
      </c>
      <c r="E43" s="12">
        <f>F43+24</f>
        <v>30</v>
      </c>
      <c r="F43" s="12">
        <f>IF(B43&lt;6,6,B43)</f>
        <v>6</v>
      </c>
      <c r="G43" s="4"/>
    </row>
    <row r="44" spans="1:7" ht="13.2">
      <c r="A44" s="5"/>
      <c r="B44" s="17" t="s">
        <v>70</v>
      </c>
      <c r="C44" s="5"/>
      <c r="D44" s="7" t="s">
        <v>73</v>
      </c>
      <c r="E44" s="7" t="s">
        <v>68</v>
      </c>
      <c r="F44" s="7" t="s">
        <v>69</v>
      </c>
      <c r="G44" s="4"/>
    </row>
    <row r="45" spans="1:7" ht="13.2">
      <c r="A45" s="3"/>
      <c r="B45" s="3"/>
      <c r="C45" s="3"/>
      <c r="D45" s="3"/>
      <c r="E45" s="3"/>
      <c r="F45" s="3"/>
      <c r="G45" s="4"/>
    </row>
    <row r="46" spans="1:7">
      <c r="A46" s="4"/>
      <c r="B46" s="4"/>
      <c r="C46" s="4"/>
      <c r="D46" s="4"/>
      <c r="E46" s="4"/>
      <c r="F46" s="4"/>
      <c r="G46" s="4"/>
    </row>
    <row r="47" spans="1:7">
      <c r="A47" s="4"/>
      <c r="B47" s="4"/>
      <c r="C47" s="4"/>
      <c r="D47" s="4"/>
      <c r="E47" s="4"/>
      <c r="F47" s="4"/>
      <c r="G47" s="4"/>
    </row>
    <row r="48" spans="1:7">
      <c r="A48" s="4"/>
      <c r="B48" s="4"/>
      <c r="C48" s="4"/>
      <c r="D48" s="4"/>
      <c r="E48" s="4"/>
      <c r="F48" s="4"/>
      <c r="G48" s="4"/>
    </row>
    <row r="49" spans="1:7">
      <c r="A49" s="4"/>
      <c r="B49" s="4"/>
      <c r="C49" s="4"/>
      <c r="D49" s="4"/>
      <c r="E49" s="4"/>
      <c r="F49" s="4"/>
      <c r="G49" s="4"/>
    </row>
    <row r="50" spans="1:7">
      <c r="A50" s="4"/>
      <c r="B50" s="4"/>
      <c r="C50" s="4"/>
      <c r="D50" s="4"/>
      <c r="E50" s="4"/>
      <c r="F50" s="4"/>
      <c r="G50" s="4"/>
    </row>
  </sheetData>
  <sheetProtection password="C439" sheet="1" objects="1" scenarios="1" selectLockedCells="1" selectUnlockedCells="1"/>
  <phoneticPr fontId="14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F4F87FC35D994989B2AFE6997E1712" ma:contentTypeVersion="0" ma:contentTypeDescription="Create a new document." ma:contentTypeScope="" ma:versionID="637bcb4fde2ff38823c7167a34101235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B7314235-090E-4519-A0F7-9D7465B89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CB5B97A-A9CF-40C7-B1CF-71EB1BF71BE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009848-08DF-4F83-8D06-D704E287F102}">
  <ds:schemaRefs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MAILCOUNT CALCULATOR</vt:lpstr>
      <vt:lpstr>RT INFO</vt:lpstr>
      <vt:lpstr>EnteredDATA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RURAL ROUTE EVALUATION WORKSHEET</dc:title>
  <dc:subject>2008 MAIL COUNT</dc:subject>
  <dc:creator>NRLCA</dc:creator>
  <dc:description>NO REPRESENTATION TO THE ACCURACY OF CALCULATING YOUR OWN ROUTE EVALUATION IS MADE NOR ASSUMED BY THE NRLCA</dc:description>
  <cp:lastModifiedBy>Susan Knapp</cp:lastModifiedBy>
  <cp:lastPrinted>2013-07-23T19:50:54Z</cp:lastPrinted>
  <dcterms:created xsi:type="dcterms:W3CDTF">2002-02-11T19:07:38Z</dcterms:created>
  <dcterms:modified xsi:type="dcterms:W3CDTF">2020-08-21T18:41:59Z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i4>1823847493</vt:i4>
  </property>
  <property fmtid="{D5CDD505-2E9C-101B-9397-08002B2CF9AE}" pid="3" name="ContentTypeId">
    <vt:lpwstr>0x010100E2F4F87FC35D994989B2AFE6997E1712</vt:lpwstr>
  </property>
</Properties>
</file>